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autoCompressPictures="0" defaultThemeVersion="166925"/>
  <mc:AlternateContent xmlns:mc="http://schemas.openxmlformats.org/markup-compatibility/2006">
    <mc:Choice Requires="x15">
      <x15ac:absPath xmlns:x15ac="http://schemas.microsoft.com/office/spreadsheetml/2010/11/ac" url="https://worldbankgroup-my.sharepoint.com/personal/aespejo_worldbank_org/Documents/CIV ER-PD/Final ERPD/For posting/"/>
    </mc:Choice>
  </mc:AlternateContent>
  <xr:revisionPtr revIDLastSave="0" documentId="10_ncr:100000_{93E02AB9-4B38-4956-93BD-80A9354BB7B0}" xr6:coauthVersionLast="31" xr6:coauthVersionMax="31" xr10:uidLastSave="{00000000-0000-0000-0000-000000000000}"/>
  <bookViews>
    <workbookView xWindow="0" yWindow="0" windowWidth="23040" windowHeight="10044" tabRatio="757" activeTab="1" xr2:uid="{00000000-000D-0000-FFFF-FFFF00000000}"/>
  </bookViews>
  <sheets>
    <sheet name="Paramètres" sheetId="3" r:id="rId1"/>
    <sheet name="Tableau" sheetId="1" r:id="rId2"/>
    <sheet name="Efficacité" sheetId="5" r:id="rId3"/>
    <sheet name="Absorption - AS1 Agroforesterie" sheetId="6" r:id="rId4"/>
    <sheet name="Absorption - FS2 Forêt classées" sheetId="7" r:id="rId5"/>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1" l="1"/>
  <c r="K3" i="1"/>
  <c r="K4" i="1"/>
  <c r="K5" i="1"/>
  <c r="K6" i="1"/>
  <c r="K7" i="1"/>
  <c r="K8" i="1"/>
  <c r="K9" i="1"/>
  <c r="K10" i="1"/>
  <c r="K11" i="1"/>
  <c r="K2" i="1"/>
  <c r="B12" i="1" l="1"/>
  <c r="C12" i="1"/>
  <c r="D12" i="1"/>
  <c r="E12" i="1"/>
  <c r="F12" i="1"/>
  <c r="G12" i="1"/>
  <c r="H12" i="1"/>
  <c r="I12" i="1"/>
  <c r="I11" i="1"/>
  <c r="I3" i="1"/>
  <c r="D2" i="1"/>
  <c r="D5" i="1"/>
  <c r="D6" i="1" s="1"/>
  <c r="D7" i="1" s="1"/>
  <c r="D8" i="1" s="1"/>
  <c r="D9" i="1" s="1"/>
  <c r="D10" i="1" s="1"/>
  <c r="D4" i="1"/>
  <c r="F2" i="1"/>
  <c r="C2" i="1"/>
  <c r="B2" i="1"/>
  <c r="D11" i="1" l="1"/>
  <c r="J34" i="6" l="1"/>
  <c r="J35" i="6" s="1"/>
  <c r="I34" i="6"/>
  <c r="H34" i="6"/>
  <c r="G34" i="6"/>
  <c r="G35" i="6" s="1"/>
  <c r="J15" i="6"/>
  <c r="J16" i="6" s="1"/>
  <c r="I15" i="6"/>
  <c r="H15" i="6"/>
  <c r="G15" i="6"/>
  <c r="G16" i="6" s="1"/>
  <c r="C8" i="6"/>
  <c r="E2" i="1"/>
  <c r="B4" i="1"/>
  <c r="L11" i="7"/>
  <c r="J11" i="7"/>
  <c r="L12" i="7"/>
  <c r="J12" i="7"/>
  <c r="L13" i="7"/>
  <c r="J13" i="7"/>
  <c r="L14" i="7"/>
  <c r="M14" i="7" s="1"/>
  <c r="D6" i="6"/>
  <c r="G31" i="6"/>
  <c r="G12" i="6"/>
  <c r="G18" i="6"/>
  <c r="G22" i="6" s="1"/>
  <c r="H31" i="6"/>
  <c r="H35" i="6"/>
  <c r="H12" i="6"/>
  <c r="H16" i="6"/>
  <c r="H19" i="6"/>
  <c r="I31" i="6"/>
  <c r="I35" i="6"/>
  <c r="I12" i="6"/>
  <c r="I16" i="6"/>
  <c r="I20" i="6"/>
  <c r="J31" i="6"/>
  <c r="J39" i="6"/>
  <c r="J12" i="6"/>
  <c r="L20" i="6" s="1"/>
  <c r="J18" i="6"/>
  <c r="J20" i="6"/>
  <c r="K31" i="6"/>
  <c r="K12" i="6"/>
  <c r="K19" i="6"/>
  <c r="K20" i="6"/>
  <c r="L31" i="6"/>
  <c r="L39" i="6"/>
  <c r="L12" i="6"/>
  <c r="L19" i="6"/>
  <c r="M31" i="6"/>
  <c r="M12" i="6"/>
  <c r="O20" i="6" s="1"/>
  <c r="M20" i="6"/>
  <c r="N31" i="6"/>
  <c r="N12" i="6"/>
  <c r="O19" i="6" s="1"/>
  <c r="N20" i="6"/>
  <c r="O31" i="6"/>
  <c r="O39" i="6"/>
  <c r="O12" i="6"/>
  <c r="F8" i="7"/>
  <c r="C7" i="7"/>
  <c r="F19" i="7" s="1"/>
  <c r="D8" i="7"/>
  <c r="E11" i="7"/>
  <c r="E12" i="7"/>
  <c r="F12" i="7"/>
  <c r="C11" i="7"/>
  <c r="E13" i="7"/>
  <c r="E14" i="7" s="1"/>
  <c r="D19" i="7"/>
  <c r="P31" i="6"/>
  <c r="P12" i="6"/>
  <c r="P19" i="6"/>
  <c r="F20" i="7"/>
  <c r="Q31" i="6"/>
  <c r="Q39" i="6"/>
  <c r="Q12" i="6"/>
  <c r="S20" i="6" s="1"/>
  <c r="Q19" i="6"/>
  <c r="Q20" i="6"/>
  <c r="R31" i="6"/>
  <c r="T39" i="6" s="1"/>
  <c r="R12" i="6"/>
  <c r="R19" i="6"/>
  <c r="R20" i="6"/>
  <c r="F22" i="7"/>
  <c r="S31" i="6"/>
  <c r="S39" i="6"/>
  <c r="S12" i="6"/>
  <c r="S19" i="6"/>
  <c r="F23" i="7"/>
  <c r="T31" i="6"/>
  <c r="V39" i="6" s="1"/>
  <c r="T12" i="6"/>
  <c r="T19" i="6"/>
  <c r="T20" i="6"/>
  <c r="U31" i="6"/>
  <c r="U39" i="6"/>
  <c r="U12" i="6"/>
  <c r="W20" i="6" s="1"/>
  <c r="U18" i="6"/>
  <c r="U20" i="6"/>
  <c r="F25" i="7"/>
  <c r="V31" i="6"/>
  <c r="X39" i="6" s="1"/>
  <c r="V37" i="6"/>
  <c r="V40" i="6"/>
  <c r="V12" i="6"/>
  <c r="V19" i="6"/>
  <c r="V20" i="6"/>
  <c r="W31" i="6"/>
  <c r="W39" i="6"/>
  <c r="W12" i="6"/>
  <c r="Y20" i="6" s="1"/>
  <c r="F27" i="7"/>
  <c r="X31" i="6"/>
  <c r="X37" i="6"/>
  <c r="X40" i="6"/>
  <c r="X12" i="6"/>
  <c r="X20" i="6"/>
  <c r="Y31" i="6"/>
  <c r="Y39" i="6"/>
  <c r="Y12" i="6"/>
  <c r="AA20" i="6" s="1"/>
  <c r="Z31" i="6"/>
  <c r="Z39" i="6"/>
  <c r="Z12" i="6"/>
  <c r="Z20" i="6"/>
  <c r="D30" i="7"/>
  <c r="AA31" i="6"/>
  <c r="AA37" i="6"/>
  <c r="AA39" i="6"/>
  <c r="AA12" i="6"/>
  <c r="M8" i="7"/>
  <c r="M12" i="7" s="1"/>
  <c r="K8" i="7"/>
  <c r="J7" i="7"/>
  <c r="K11" i="7" s="1"/>
  <c r="AB31" i="6"/>
  <c r="AJ12" i="6"/>
  <c r="AI12" i="6"/>
  <c r="AH12" i="6"/>
  <c r="AG12" i="6"/>
  <c r="AF12" i="6"/>
  <c r="AE12" i="6"/>
  <c r="AD12" i="6"/>
  <c r="AC12" i="6"/>
  <c r="AB12" i="6"/>
  <c r="AC31" i="6"/>
  <c r="AF31" i="6"/>
  <c r="AJ31" i="6"/>
  <c r="AG31" i="6"/>
  <c r="AD31" i="6"/>
  <c r="AH31" i="6"/>
  <c r="AE31" i="6"/>
  <c r="AI31" i="6"/>
  <c r="A2" i="5"/>
  <c r="A3" i="5"/>
  <c r="A4" i="5"/>
  <c r="A5" i="5"/>
  <c r="A6" i="5"/>
  <c r="A7" i="5"/>
  <c r="A8" i="5"/>
  <c r="A9" i="5"/>
  <c r="A10" i="5"/>
  <c r="A1" i="5"/>
  <c r="G20" i="7" l="1"/>
  <c r="AA41" i="6"/>
  <c r="G27" i="7"/>
  <c r="G23" i="7"/>
  <c r="D11" i="7"/>
  <c r="C12" i="7"/>
  <c r="D20" i="7"/>
  <c r="D22" i="7"/>
  <c r="G22" i="7" s="1"/>
  <c r="D15" i="7"/>
  <c r="D18" i="7"/>
  <c r="D23" i="7"/>
  <c r="D16" i="7"/>
  <c r="D21" i="7"/>
  <c r="D24" i="7"/>
  <c r="D26" i="7"/>
  <c r="D28" i="7"/>
  <c r="H38" i="6"/>
  <c r="K38" i="6"/>
  <c r="O38" i="6"/>
  <c r="I38" i="6"/>
  <c r="N38" i="6"/>
  <c r="T38" i="6"/>
  <c r="V38" i="6"/>
  <c r="V41" i="6" s="1"/>
  <c r="V43" i="6" s="1"/>
  <c r="X38" i="6"/>
  <c r="X41" i="6" s="1"/>
  <c r="X43" i="6" s="1"/>
  <c r="Z38" i="6"/>
  <c r="L38" i="6"/>
  <c r="P38" i="6"/>
  <c r="R38" i="6"/>
  <c r="C4" i="1"/>
  <c r="C5" i="1" s="1"/>
  <c r="C6" i="1" s="1"/>
  <c r="C7" i="1" s="1"/>
  <c r="C8" i="1" s="1"/>
  <c r="C9" i="1" s="1"/>
  <c r="C10" i="1" s="1"/>
  <c r="E3" i="1"/>
  <c r="D8" i="6"/>
  <c r="C9" i="6"/>
  <c r="K21" i="6"/>
  <c r="O21" i="6"/>
  <c r="S21" i="6"/>
  <c r="T21" i="6"/>
  <c r="V21" i="6"/>
  <c r="X21" i="6"/>
  <c r="Z21" i="6"/>
  <c r="J21" i="6"/>
  <c r="M21" i="6"/>
  <c r="Q21" i="6"/>
  <c r="J40" i="6"/>
  <c r="M40" i="6"/>
  <c r="Q40" i="6"/>
  <c r="S40" i="6"/>
  <c r="U40" i="6"/>
  <c r="W40" i="6"/>
  <c r="Y40" i="6"/>
  <c r="AA40" i="6"/>
  <c r="K40" i="6"/>
  <c r="N40" i="6"/>
  <c r="D31" i="7"/>
  <c r="AA21" i="6"/>
  <c r="Z19" i="6"/>
  <c r="Z40" i="6"/>
  <c r="X19" i="6"/>
  <c r="T40" i="6"/>
  <c r="Q38" i="6"/>
  <c r="P21" i="6"/>
  <c r="D17" i="7"/>
  <c r="G19" i="7"/>
  <c r="O40" i="6"/>
  <c r="M38" i="6"/>
  <c r="L40" i="6"/>
  <c r="L15" i="7"/>
  <c r="K13" i="7"/>
  <c r="J14" i="7"/>
  <c r="H18" i="6"/>
  <c r="H22" i="6" s="1"/>
  <c r="N18" i="6"/>
  <c r="P18" i="6"/>
  <c r="R18" i="6"/>
  <c r="R22" i="6" s="1"/>
  <c r="K18" i="6"/>
  <c r="K22" i="6" s="1"/>
  <c r="L18" i="6"/>
  <c r="O18" i="6"/>
  <c r="O22" i="6" s="1"/>
  <c r="T18" i="6"/>
  <c r="T22" i="6" s="1"/>
  <c r="V18" i="6"/>
  <c r="V22" i="6" s="1"/>
  <c r="X18" i="6"/>
  <c r="X22" i="6" s="1"/>
  <c r="H37" i="6"/>
  <c r="I37" i="6"/>
  <c r="I41" i="6" s="1"/>
  <c r="I43" i="6" s="1"/>
  <c r="L37" i="6"/>
  <c r="L41" i="6" s="1"/>
  <c r="Q37" i="6"/>
  <c r="S37" i="6"/>
  <c r="O37" i="6"/>
  <c r="O41" i="6" s="1"/>
  <c r="O43" i="6" s="1"/>
  <c r="P37" i="6"/>
  <c r="R37" i="6"/>
  <c r="J37" i="6"/>
  <c r="U37" i="6"/>
  <c r="W37" i="6"/>
  <c r="Y37" i="6"/>
  <c r="F31" i="7"/>
  <c r="G31" i="7" s="1"/>
  <c r="Z18" i="6"/>
  <c r="Z22" i="6" s="1"/>
  <c r="D29" i="7"/>
  <c r="Y21" i="6"/>
  <c r="Y38" i="6"/>
  <c r="W21" i="6"/>
  <c r="W38" i="6"/>
  <c r="U21" i="6"/>
  <c r="T37" i="6"/>
  <c r="T41" i="6" s="1"/>
  <c r="S38" i="6"/>
  <c r="R21" i="6"/>
  <c r="Q18" i="6"/>
  <c r="Q22" i="6" s="1"/>
  <c r="P20" i="6"/>
  <c r="P40" i="6"/>
  <c r="F17" i="7"/>
  <c r="G17" i="7" s="1"/>
  <c r="F13" i="7"/>
  <c r="N21" i="6"/>
  <c r="N37" i="6"/>
  <c r="M37" i="6"/>
  <c r="L21" i="6"/>
  <c r="I18" i="6"/>
  <c r="I22" i="6" s="1"/>
  <c r="G37" i="6"/>
  <c r="G41" i="6" s="1"/>
  <c r="G43" i="6" s="1"/>
  <c r="M13" i="7"/>
  <c r="AA18" i="6"/>
  <c r="AA22" i="6" s="1"/>
  <c r="AA38" i="6"/>
  <c r="Z37" i="6"/>
  <c r="F29" i="7"/>
  <c r="G29" i="7" s="1"/>
  <c r="Y18" i="6"/>
  <c r="D27" i="7"/>
  <c r="W18" i="6"/>
  <c r="D25" i="7"/>
  <c r="G25" i="7" s="1"/>
  <c r="U38" i="6"/>
  <c r="S18" i="6"/>
  <c r="R40" i="6"/>
  <c r="F15" i="7"/>
  <c r="G15" i="7" s="1"/>
  <c r="F14" i="7"/>
  <c r="M18" i="6"/>
  <c r="K37" i="6"/>
  <c r="J38" i="6"/>
  <c r="K12" i="7"/>
  <c r="F16" i="7"/>
  <c r="F18" i="7"/>
  <c r="I39" i="6"/>
  <c r="N39" i="6"/>
  <c r="P39" i="6"/>
  <c r="R39" i="6"/>
  <c r="J19" i="6"/>
  <c r="J22" i="6" s="1"/>
  <c r="M19" i="6"/>
  <c r="M11" i="7"/>
  <c r="AA19" i="6"/>
  <c r="F30" i="7"/>
  <c r="G30" i="7" s="1"/>
  <c r="Y19" i="6"/>
  <c r="F28" i="7"/>
  <c r="W19" i="6"/>
  <c r="F26" i="7"/>
  <c r="G26" i="7" s="1"/>
  <c r="U19" i="6"/>
  <c r="U22" i="6" s="1"/>
  <c r="F24" i="7"/>
  <c r="F21" i="7"/>
  <c r="N19" i="6"/>
  <c r="M39" i="6"/>
  <c r="K39" i="6"/>
  <c r="I19" i="6"/>
  <c r="F11" i="7"/>
  <c r="E4" i="1"/>
  <c r="B5" i="1"/>
  <c r="C11" i="1" l="1"/>
  <c r="Y22" i="6"/>
  <c r="N41" i="6"/>
  <c r="U41" i="6"/>
  <c r="U43" i="6" s="1"/>
  <c r="K14" i="7"/>
  <c r="N14" i="7" s="1"/>
  <c r="J15" i="7"/>
  <c r="C10" i="6"/>
  <c r="D9" i="6"/>
  <c r="C13" i="7"/>
  <c r="D12" i="7"/>
  <c r="AA43" i="6"/>
  <c r="T43" i="6"/>
  <c r="J41" i="6"/>
  <c r="J43" i="6" s="1"/>
  <c r="S41" i="6"/>
  <c r="H41" i="6"/>
  <c r="H43" i="6" s="1"/>
  <c r="P22" i="6"/>
  <c r="C34" i="6"/>
  <c r="G11" i="7"/>
  <c r="F32" i="7"/>
  <c r="G21" i="7"/>
  <c r="G18" i="7"/>
  <c r="K41" i="6"/>
  <c r="K43" i="6" s="1"/>
  <c r="W22" i="6"/>
  <c r="Z41" i="6"/>
  <c r="Z43" i="6" s="1"/>
  <c r="Y41" i="6"/>
  <c r="Y43" i="6" s="1"/>
  <c r="R41" i="6"/>
  <c r="R43" i="6" s="1"/>
  <c r="Q41" i="6"/>
  <c r="Q43" i="6" s="1"/>
  <c r="L22" i="6"/>
  <c r="N22" i="6"/>
  <c r="M15" i="7"/>
  <c r="L16" i="7"/>
  <c r="G24" i="7"/>
  <c r="G28" i="7"/>
  <c r="N11" i="7"/>
  <c r="G16" i="7"/>
  <c r="M22" i="6"/>
  <c r="S22" i="6"/>
  <c r="N13" i="7"/>
  <c r="M41" i="6"/>
  <c r="M43" i="6" s="1"/>
  <c r="W41" i="6"/>
  <c r="W43" i="6" s="1"/>
  <c r="P41" i="6"/>
  <c r="L43" i="6"/>
  <c r="N12" i="7"/>
  <c r="E5" i="1"/>
  <c r="B6" i="1"/>
  <c r="R12" i="7" l="1"/>
  <c r="C35" i="6"/>
  <c r="D10" i="6"/>
  <c r="C36" i="6" s="1"/>
  <c r="C11" i="6"/>
  <c r="N43" i="6"/>
  <c r="P43" i="6"/>
  <c r="R11" i="7"/>
  <c r="M16" i="7"/>
  <c r="L17" i="7"/>
  <c r="S43" i="6"/>
  <c r="G12" i="7"/>
  <c r="K15" i="7"/>
  <c r="J16" i="7"/>
  <c r="C14" i="7"/>
  <c r="D14" i="7" s="1"/>
  <c r="G14" i="7" s="1"/>
  <c r="D13" i="7"/>
  <c r="G13" i="7" s="1"/>
  <c r="R13" i="7" s="1"/>
  <c r="R14" i="7"/>
  <c r="B7" i="1"/>
  <c r="E6" i="1"/>
  <c r="K16" i="7" l="1"/>
  <c r="J17" i="7"/>
  <c r="C12" i="6"/>
  <c r="D11" i="6"/>
  <c r="C37" i="6" s="1"/>
  <c r="F4" i="1"/>
  <c r="M17" i="7"/>
  <c r="L18" i="7"/>
  <c r="B11" i="1"/>
  <c r="N15" i="7"/>
  <c r="R15" i="7" s="1"/>
  <c r="D32" i="7"/>
  <c r="G32" i="7" s="1"/>
  <c r="N16" i="7"/>
  <c r="R16" i="7" s="1"/>
  <c r="F3" i="1"/>
  <c r="B8" i="1"/>
  <c r="E7" i="1"/>
  <c r="E11" i="1" s="1"/>
  <c r="M18" i="7" l="1"/>
  <c r="L19" i="7"/>
  <c r="G2" i="1"/>
  <c r="J18" i="7"/>
  <c r="K17" i="7"/>
  <c r="G3" i="1"/>
  <c r="H3" i="1" s="1"/>
  <c r="F5" i="1"/>
  <c r="G4" i="1"/>
  <c r="I4" i="1" s="1"/>
  <c r="H4" i="1" s="1"/>
  <c r="C13" i="6"/>
  <c r="D12" i="6"/>
  <c r="C38" i="6" s="1"/>
  <c r="F6" i="1" s="1"/>
  <c r="E8" i="1"/>
  <c r="B9" i="1"/>
  <c r="C14" i="6" l="1"/>
  <c r="D13" i="6"/>
  <c r="C39" i="6" s="1"/>
  <c r="I2" i="1"/>
  <c r="G5" i="1"/>
  <c r="I5" i="1" s="1"/>
  <c r="H5" i="1" s="1"/>
  <c r="G6" i="1"/>
  <c r="I6" i="1" s="1"/>
  <c r="H6" i="1" s="1"/>
  <c r="N17" i="7"/>
  <c r="R17" i="7" s="1"/>
  <c r="K18" i="7"/>
  <c r="N18" i="7" s="1"/>
  <c r="R18" i="7" s="1"/>
  <c r="J19" i="7"/>
  <c r="M19" i="7"/>
  <c r="L20" i="7"/>
  <c r="E9" i="1"/>
  <c r="B10" i="1"/>
  <c r="M20" i="7" l="1"/>
  <c r="L21" i="7"/>
  <c r="F7" i="1"/>
  <c r="C15" i="6"/>
  <c r="D14" i="6"/>
  <c r="C40" i="6" s="1"/>
  <c r="F8" i="1" s="1"/>
  <c r="K19" i="7"/>
  <c r="N19" i="7" s="1"/>
  <c r="R19" i="7" s="1"/>
  <c r="R20" i="7" s="1"/>
  <c r="J20" i="7"/>
  <c r="H2" i="1"/>
  <c r="E10" i="1"/>
  <c r="G7" i="1" l="1"/>
  <c r="G11" i="1" s="1"/>
  <c r="F11" i="1"/>
  <c r="G8" i="1"/>
  <c r="I8" i="1" s="1"/>
  <c r="H8" i="1" s="1"/>
  <c r="M21" i="7"/>
  <c r="L22" i="7"/>
  <c r="J21" i="7"/>
  <c r="K20" i="7"/>
  <c r="D15" i="6"/>
  <c r="C41" i="6" s="1"/>
  <c r="F9" i="1" s="1"/>
  <c r="C16" i="6"/>
  <c r="N20" i="7"/>
  <c r="I7" i="1" l="1"/>
  <c r="H7" i="1" s="1"/>
  <c r="H11" i="1" s="1"/>
  <c r="C17" i="6"/>
  <c r="D16" i="6"/>
  <c r="C42" i="6" s="1"/>
  <c r="F10" i="1" s="1"/>
  <c r="G10" i="1" s="1"/>
  <c r="I10" i="1" s="1"/>
  <c r="H10" i="1" s="1"/>
  <c r="L23" i="7"/>
  <c r="M22" i="7"/>
  <c r="G9" i="1"/>
  <c r="I9" i="1" s="1"/>
  <c r="H9" i="1" s="1"/>
  <c r="C43" i="6"/>
  <c r="K21" i="7"/>
  <c r="N21" i="7" s="1"/>
  <c r="J22" i="7"/>
  <c r="J23" i="7" l="1"/>
  <c r="K22" i="7"/>
  <c r="D17" i="6"/>
  <c r="C18" i="6"/>
  <c r="N22" i="7"/>
  <c r="M23" i="7"/>
  <c r="L24" i="7"/>
  <c r="J24" i="7" l="1"/>
  <c r="K23" i="7"/>
  <c r="D18" i="6"/>
  <c r="C19" i="6"/>
  <c r="L25" i="7"/>
  <c r="M24" i="7"/>
  <c r="N23" i="7"/>
  <c r="M25" i="7" l="1"/>
  <c r="L26" i="7"/>
  <c r="J25" i="7"/>
  <c r="K24" i="7"/>
  <c r="N24" i="7" s="1"/>
  <c r="D19" i="6"/>
  <c r="C20" i="6"/>
  <c r="N25" i="7" l="1"/>
  <c r="K25" i="7"/>
  <c r="J26" i="7"/>
  <c r="C21" i="6"/>
  <c r="D20" i="6"/>
  <c r="M26" i="7"/>
  <c r="L27" i="7"/>
  <c r="D21" i="6" l="1"/>
  <c r="C22" i="6"/>
  <c r="M27" i="7"/>
  <c r="L28" i="7"/>
  <c r="J27" i="7"/>
  <c r="K26" i="7"/>
  <c r="N26" i="7"/>
  <c r="K27" i="7" l="1"/>
  <c r="J28" i="7"/>
  <c r="M28" i="7"/>
  <c r="L29" i="7"/>
  <c r="N27" i="7"/>
  <c r="C23" i="6"/>
  <c r="D22" i="6"/>
  <c r="M29" i="7" l="1"/>
  <c r="L30" i="7"/>
  <c r="D23" i="6"/>
  <c r="C24" i="6"/>
  <c r="J29" i="7"/>
  <c r="K28" i="7"/>
  <c r="N28" i="7" s="1"/>
  <c r="C25" i="6" l="1"/>
  <c r="D24" i="6"/>
  <c r="K29" i="7"/>
  <c r="N29" i="7" s="1"/>
  <c r="J30" i="7"/>
  <c r="L31" i="7"/>
  <c r="M30" i="7"/>
  <c r="J31" i="7" l="1"/>
  <c r="K30" i="7"/>
  <c r="C26" i="6"/>
  <c r="D25" i="6"/>
  <c r="N30" i="7"/>
  <c r="M31" i="7"/>
  <c r="L32" i="7"/>
  <c r="J32" i="7" l="1"/>
  <c r="K31" i="7"/>
  <c r="K32" i="7" s="1"/>
  <c r="C27" i="6"/>
  <c r="D26" i="6"/>
  <c r="N31" i="7"/>
  <c r="M32" i="7"/>
  <c r="N32" i="7" s="1"/>
  <c r="C28" i="6" l="1"/>
  <c r="D27" i="6"/>
  <c r="C29" i="6" l="1"/>
  <c r="D28" i="6"/>
  <c r="D29" i="6" s="1"/>
</calcChain>
</file>

<file path=xl/sharedStrings.xml><?xml version="1.0" encoding="utf-8"?>
<sst xmlns="http://schemas.openxmlformats.org/spreadsheetml/2006/main" count="128" uniqueCount="82">
  <si>
    <t>Efficacité du projet</t>
  </si>
  <si>
    <t>Définition</t>
  </si>
  <si>
    <t>Source</t>
  </si>
  <si>
    <t>Nom</t>
  </si>
  <si>
    <t>Absorptions</t>
  </si>
  <si>
    <t>Absorptions de carbone permises par les activités de reboisement de l'ERP, exprimées en TeqCO2</t>
  </si>
  <si>
    <t>Coefficient de prudence</t>
  </si>
  <si>
    <r>
      <t xml:space="preserve">Coefficiant évalué selon le niveau d'incertudes du projet, tel que prévu dans le critère 22 du Cadre méthodologique du FCPF-CF:
</t>
    </r>
    <r>
      <rPr>
        <sz val="11"/>
        <color theme="1"/>
        <rFont val="Calibri"/>
        <family val="2"/>
      </rPr>
      <t>≤15% -&gt; 0%
&gt;15% et ≤</t>
    </r>
    <r>
      <rPr>
        <sz val="11"/>
        <color theme="1"/>
        <rFont val="Calibri"/>
        <family val="2"/>
        <scheme val="minor"/>
      </rPr>
      <t>30% -&gt; 4%
&gt;30% et ≤60% -&gt; 8%
&gt;60% et ≤100% -&gt; 12%
&gt;100% -&gt; 15%</t>
    </r>
  </si>
  <si>
    <t>Mise en réserve pour risque d'inversion</t>
  </si>
  <si>
    <t>% d'ER mis en réserve pour compennser le risque de non-permanence ou risque d'inversion des ER [entre 10% et 40%]</t>
  </si>
  <si>
    <t>Année</t>
  </si>
  <si>
    <t>Valeurs</t>
  </si>
  <si>
    <t>% d'émissions que le projet entend réduire par rapport au scénario de référence en tenant compte du risque de fuites</t>
  </si>
  <si>
    <t>TOTAL</t>
  </si>
  <si>
    <t>GIEC, 2003</t>
  </si>
  <si>
    <t>2020-2021</t>
  </si>
  <si>
    <r>
      <t xml:space="preserve">Taux d'efficacité
</t>
    </r>
    <r>
      <rPr>
        <i/>
        <sz val="11"/>
        <color theme="1"/>
        <rFont val="Calibri"/>
        <family val="2"/>
        <scheme val="minor"/>
      </rPr>
      <t>% de réduction des émissions par rapport au scénario de référence</t>
    </r>
  </si>
  <si>
    <t>2022-2024</t>
  </si>
  <si>
    <t xml:space="preserve">Sources:  </t>
  </si>
  <si>
    <r>
      <t xml:space="preserve">Palm </t>
    </r>
    <r>
      <rPr>
        <i/>
        <sz val="11"/>
        <color theme="1"/>
        <rFont val="Calibri"/>
        <family val="2"/>
        <scheme val="minor"/>
      </rPr>
      <t>et.al.</t>
    </r>
    <r>
      <rPr>
        <sz val="11"/>
        <color theme="1"/>
        <rFont val="Calibri"/>
        <family val="2"/>
        <scheme val="minor"/>
      </rPr>
      <t xml:space="preserve"> 2000</t>
    </r>
  </si>
  <si>
    <t>Données</t>
  </si>
  <si>
    <t>FFCCeq</t>
  </si>
  <si>
    <t>Surfaces cumulées
(ha)</t>
  </si>
  <si>
    <t>Années</t>
  </si>
  <si>
    <t>Accroissement annuel (tC ha-1 an-1)</t>
  </si>
  <si>
    <t>Modèle 1 - Plantatations agroforestières diverses sur sol nu</t>
  </si>
  <si>
    <t>Age</t>
  </si>
  <si>
    <t>Modèle 2 - Introduction d'abres d'ombrage dans des cacaoyères en production</t>
  </si>
  <si>
    <t>AGB (tC/ha)</t>
  </si>
  <si>
    <t>AGB (tCO2eq/ha)</t>
  </si>
  <si>
    <t>BGB (tCO2eq/ha)</t>
  </si>
  <si>
    <t>Absorptions
(tCO2eq)</t>
  </si>
  <si>
    <t>Biomasse totale (tCO2eq/ha)</t>
  </si>
  <si>
    <t>Surfaces enrichies (ha)</t>
  </si>
  <si>
    <r>
      <t xml:space="preserve">Rapportées à la densité de Dupuy </t>
    </r>
    <r>
      <rPr>
        <b/>
        <i/>
        <sz val="11"/>
        <color theme="1"/>
        <rFont val="Calibri"/>
        <family val="2"/>
        <scheme val="minor"/>
      </rPr>
      <t xml:space="preserve">et.al. </t>
    </r>
    <r>
      <rPr>
        <b/>
        <sz val="11"/>
        <color theme="1"/>
        <rFont val="Calibri"/>
        <family val="2"/>
        <scheme val="minor"/>
      </rPr>
      <t>1999 (ha)</t>
    </r>
  </si>
  <si>
    <t>Absorptions annuelles - Tranche A</t>
  </si>
  <si>
    <t>Tranche B</t>
  </si>
  <si>
    <t>Tranche C</t>
  </si>
  <si>
    <t>Tranche D</t>
  </si>
  <si>
    <t>Absorptions annuelles total pour le secteur ombrophile</t>
  </si>
  <si>
    <t>Modèle 2 implanté dans zone de secteur ombrophile</t>
  </si>
  <si>
    <t>Modèle 2 implanté dans zone de secteur mésophile</t>
  </si>
  <si>
    <t>Absorptions annuelles totales pour Modèle 2</t>
  </si>
  <si>
    <t>Absorptions annuelles totales pour le secteur mésophile</t>
  </si>
  <si>
    <t>TOTAL ABSORPTIONS MODELES 1 ET 2</t>
  </si>
  <si>
    <t>Modèle 1 - Plantatations industrielle de bois d'œuvre</t>
  </si>
  <si>
    <t>Accroissement annuel (t.m.s. ha-1)</t>
  </si>
  <si>
    <t>Secteur ombrophile</t>
  </si>
  <si>
    <t>Secteur mésophile</t>
  </si>
  <si>
    <r>
      <t>FCFC</t>
    </r>
    <r>
      <rPr>
        <sz val="8"/>
        <rFont val="Calibri"/>
        <family val="2"/>
      </rPr>
      <t>MSBV</t>
    </r>
  </si>
  <si>
    <t>Tropical rain forest</t>
  </si>
  <si>
    <t>Tropical moist deciduous forest</t>
  </si>
  <si>
    <t>Ratio tige sur racine</t>
  </si>
  <si>
    <t>GIEC, 2006</t>
  </si>
  <si>
    <t>TOTAL Accroissement biomasse vivante (tC ha-1)</t>
  </si>
  <si>
    <t>TOTAL Absorptions FS2-modèle 1
(tCO2eq)</t>
  </si>
  <si>
    <t>Total</t>
  </si>
  <si>
    <t>Modèle 2 - Assistance à régénération naturelle, restauration</t>
  </si>
  <si>
    <t>TOTAL Absorptions FS2-modèle 2
(tCO2eq)</t>
  </si>
  <si>
    <t>TOTAL ABSORPTIONS FS2 - MODELES 1 ET 2</t>
  </si>
  <si>
    <t>Voir Feuille Efficacité</t>
  </si>
  <si>
    <t>Diverse</t>
  </si>
  <si>
    <t>Diverses</t>
  </si>
  <si>
    <t>ERPD-chap.12 + MF-CF</t>
  </si>
  <si>
    <t>Voir Feuilles Absorption (AS1 Agroforesterie et FS2 Forêts classées)</t>
  </si>
  <si>
    <t>ERPD-chap. 11 + MF-CF</t>
  </si>
  <si>
    <t>Estimation de la part de réductions d'émission à mettre en réserve au titre du risque d'inversion (tCO2eq)</t>
  </si>
  <si>
    <t>Estimation de la part de réduction d'émission à mettre en réserve au titre de l'incertitude 
(tCO2eq)</t>
  </si>
  <si>
    <t>Estimation des Réductions d'émission 
(tCO2eq)</t>
  </si>
  <si>
    <t>Estimations des absorptions dues aux activités de renforcement des stocks 
(tCO2eq)</t>
  </si>
  <si>
    <t xml:space="preserve">Estimation des émissions dans le scénarion du PRE (tCO2eq)
</t>
  </si>
  <si>
    <t>Niveau de référence pour le renforcement des stocks de carbone 
(tCO2eq)</t>
  </si>
  <si>
    <t>Niveau de référence pour la déforestation 
(tCO2eq)</t>
  </si>
  <si>
    <t>2025-2027</t>
  </si>
  <si>
    <t>Niveau de référence pour la dégradatoin (tCO2eq)</t>
  </si>
  <si>
    <t>Réduction de la déforestation</t>
  </si>
  <si>
    <t>Réduction de la dégradation</t>
  </si>
  <si>
    <t xml:space="preserve">Objectif de 100,000 ha répartis sur base de  la proportion forêt ombrophile (70%) vs. forêt mésophile (30%). Avec le calendrier annuel de déploiement suivant: 16 000 ha plantés en année 1, 24 000 ha en année 2 et 30 000 ha les années 3 et 4.  </t>
  </si>
  <si>
    <r>
      <t xml:space="preserve">Objectif: </t>
    </r>
    <r>
      <rPr>
        <sz val="11"/>
        <color theme="1"/>
        <rFont val="Calibri"/>
        <family val="2"/>
        <scheme val="minor"/>
      </rPr>
      <t xml:space="preserve">100 000 ha en 4 
</t>
    </r>
    <r>
      <rPr>
        <i/>
        <u/>
        <sz val="11"/>
        <color theme="1"/>
        <rFont val="Calibri"/>
        <family val="2"/>
        <scheme val="minor"/>
      </rPr>
      <t xml:space="preserve">
Données:</t>
    </r>
  </si>
  <si>
    <t>À défaut de données comparées Cacao sans arbres vs. cacao avec arbres, on utilise Dupuy et al., 1999 
Données calculées pour secteurs ombrophile et mésophile avec le logiciel CO2FIX).
La table de productivité de Dupuy et.al. 1999 est estimée pour une densité initiale de 1450 tiges/ha. À raison de 50 tiges plantées par ha, on peut estimer un équivalent surface qui permet d'appliquer cette table.</t>
  </si>
  <si>
    <t>TOTAL ERPA term</t>
  </si>
  <si>
    <t>TOTAL implementation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</si>
</sst>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0.000000000"/>
  </numFmts>
  <fonts count="17" x14ac:knownFonts="1">
    <font>
      <sz val="11"/>
      <color theme="1"/>
      <name val="Calibri"/>
      <family val="2"/>
      <scheme val="minor"/>
    </font>
    <font>
      <b/>
      <sz val="10"/>
      <color rgb="FF000000"/>
      <name val="Calibri"/>
      <family val="2"/>
    </font>
    <font>
      <sz val="10"/>
      <color rgb="FF000000"/>
      <name val="Calibri"/>
      <family val="2"/>
    </font>
    <font>
      <b/>
      <i/>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i/>
      <sz val="11"/>
      <color theme="1"/>
      <name val="Calibri"/>
      <family val="2"/>
      <scheme val="minor"/>
    </font>
    <font>
      <i/>
      <sz val="11"/>
      <color theme="1" tint="0.499984740745262"/>
      <name val="Calibri"/>
      <family val="2"/>
      <scheme val="minor"/>
    </font>
    <font>
      <u/>
      <sz val="10"/>
      <color rgb="FF000000"/>
      <name val="Calibri"/>
      <family val="2"/>
    </font>
    <font>
      <sz val="10"/>
      <color theme="1"/>
      <name val="Calibri"/>
      <family val="2"/>
      <scheme val="minor"/>
    </font>
    <font>
      <sz val="11"/>
      <name val="Calibri"/>
      <family val="2"/>
      <scheme val="minor"/>
    </font>
    <font>
      <i/>
      <u/>
      <sz val="11"/>
      <color theme="1"/>
      <name val="Calibri"/>
      <family val="2"/>
      <scheme val="minor"/>
    </font>
    <font>
      <sz val="8"/>
      <name val="Calibri"/>
      <family val="2"/>
    </font>
    <font>
      <b/>
      <sz val="9"/>
      <color rgb="FF000000"/>
      <name val="Calibri"/>
      <family val="2"/>
    </font>
    <font>
      <sz val="11"/>
      <color rgb="FF3F3F76"/>
      <name val="Calibri"/>
      <family val="2"/>
      <scheme val="minor"/>
    </font>
    <font>
      <sz val="10"/>
      <color theme="0" tint="-0.249977111117893"/>
      <name val="Calibri"/>
      <family val="2"/>
    </font>
  </fonts>
  <fills count="9">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CC99"/>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164"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15" fillId="6" borderId="16" applyNumberFormat="0" applyAlignment="0" applyProtection="0"/>
  </cellStyleXfs>
  <cellXfs count="131">
    <xf numFmtId="0" fontId="0" fillId="0" borderId="0" xfId="0"/>
    <xf numFmtId="0" fontId="0" fillId="0" borderId="0" xfId="0" applyAlignment="1">
      <alignment horizontal="left" vertical="center" wrapText="1"/>
    </xf>
    <xf numFmtId="0" fontId="0" fillId="0" borderId="0" xfId="0"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64" fontId="0" fillId="0" borderId="0" xfId="1" applyFont="1"/>
    <xf numFmtId="165" fontId="0" fillId="0" borderId="0" xfId="1" applyNumberFormat="1" applyFont="1"/>
    <xf numFmtId="0" fontId="0" fillId="0" borderId="0" xfId="0" applyAlignment="1">
      <alignment horizontal="left" vertical="center" wrapText="1"/>
    </xf>
    <xf numFmtId="165" fontId="0" fillId="0" borderId="0" xfId="1" applyNumberFormat="1" applyFont="1" applyAlignment="1">
      <alignment horizontal="center" vertical="center"/>
    </xf>
    <xf numFmtId="0" fontId="8" fillId="0" borderId="0" xfId="0" applyFont="1" applyAlignment="1">
      <alignment horizontal="center" vertical="center"/>
    </xf>
    <xf numFmtId="165" fontId="8" fillId="0" borderId="0" xfId="1" applyNumberFormat="1" applyFont="1" applyAlignment="1">
      <alignment horizontal="center" vertical="center"/>
    </xf>
    <xf numFmtId="164" fontId="0" fillId="0" borderId="0" xfId="0" applyNumberFormat="1"/>
    <xf numFmtId="4" fontId="0" fillId="0" borderId="0" xfId="0" applyNumberFormat="1"/>
    <xf numFmtId="9" fontId="0" fillId="0" borderId="0" xfId="0" applyNumberFormat="1"/>
    <xf numFmtId="0" fontId="0" fillId="0" borderId="0" xfId="0" applyAlignment="1">
      <alignment horizontal="right"/>
    </xf>
    <xf numFmtId="0" fontId="0" fillId="0" borderId="0" xfId="0" applyAlignment="1">
      <alignment horizontal="left"/>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xf>
    <xf numFmtId="9" fontId="0" fillId="0" borderId="5" xfId="0" applyNumberFormat="1" applyBorder="1" applyAlignment="1">
      <alignment horizontal="center"/>
    </xf>
    <xf numFmtId="0" fontId="9" fillId="0" borderId="0" xfId="0" applyFont="1" applyAlignment="1">
      <alignment vertical="center"/>
    </xf>
    <xf numFmtId="0" fontId="2" fillId="0" borderId="0" xfId="0" applyFont="1" applyAlignment="1">
      <alignment horizontal="left" vertical="center" indent="4"/>
    </xf>
    <xf numFmtId="0" fontId="4" fillId="0" borderId="0" xfId="0" applyFont="1"/>
    <xf numFmtId="164" fontId="4" fillId="0" borderId="0" xfId="1" applyFont="1"/>
    <xf numFmtId="0" fontId="5" fillId="0" borderId="5" xfId="0" applyFont="1" applyBorder="1"/>
    <xf numFmtId="4" fontId="5" fillId="0" borderId="5" xfId="0" applyNumberFormat="1" applyFont="1" applyFill="1" applyBorder="1"/>
    <xf numFmtId="0" fontId="5" fillId="0" borderId="0" xfId="0" applyFont="1"/>
    <xf numFmtId="4" fontId="10" fillId="0" borderId="5" xfId="0" applyNumberFormat="1" applyFont="1" applyFill="1" applyBorder="1" applyAlignment="1">
      <alignment wrapText="1"/>
    </xf>
    <xf numFmtId="4" fontId="4" fillId="0" borderId="5" xfId="0" applyNumberFormat="1" applyFont="1" applyFill="1" applyBorder="1"/>
    <xf numFmtId="4" fontId="4" fillId="0" borderId="0" xfId="0" applyNumberFormat="1" applyFont="1"/>
    <xf numFmtId="0" fontId="4" fillId="0" borderId="0" xfId="0" applyFont="1" applyBorder="1"/>
    <xf numFmtId="0" fontId="0" fillId="0" borderId="0" xfId="0" applyBorder="1"/>
    <xf numFmtId="4" fontId="4" fillId="0" borderId="0" xfId="0" applyNumberFormat="1" applyFont="1" applyFill="1" applyBorder="1"/>
    <xf numFmtId="4" fontId="11" fillId="0" borderId="0" xfId="0" applyNumberFormat="1" applyFont="1" applyBorder="1"/>
    <xf numFmtId="4" fontId="4" fillId="0" borderId="5" xfId="0" applyNumberFormat="1" applyFont="1" applyBorder="1"/>
    <xf numFmtId="164" fontId="0" fillId="0" borderId="5" xfId="1" applyFont="1" applyBorder="1"/>
    <xf numFmtId="164" fontId="5" fillId="0" borderId="5" xfId="1" applyFont="1" applyBorder="1"/>
    <xf numFmtId="4" fontId="5" fillId="0" borderId="5" xfId="0" applyNumberFormat="1" applyFont="1" applyBorder="1"/>
    <xf numFmtId="0" fontId="12" fillId="3" borderId="7" xfId="0" applyFont="1" applyFill="1" applyBorder="1"/>
    <xf numFmtId="0" fontId="12" fillId="3" borderId="8" xfId="0" applyFont="1" applyFill="1" applyBorder="1"/>
    <xf numFmtId="0" fontId="0" fillId="3" borderId="8" xfId="0" applyFill="1" applyBorder="1"/>
    <xf numFmtId="0" fontId="0" fillId="3" borderId="9" xfId="0" applyFill="1" applyBorder="1"/>
    <xf numFmtId="0" fontId="0" fillId="3" borderId="10" xfId="0" applyFill="1" applyBorder="1"/>
    <xf numFmtId="0" fontId="0" fillId="3" borderId="0" xfId="0" applyFill="1" applyBorder="1"/>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xf numFmtId="0" fontId="0" fillId="0" borderId="0" xfId="0" applyFill="1" applyBorder="1"/>
    <xf numFmtId="0" fontId="5" fillId="0" borderId="13"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3" fontId="4" fillId="0" borderId="0" xfId="0" applyNumberFormat="1" applyFont="1" applyAlignment="1">
      <alignment horizontal="center"/>
    </xf>
    <xf numFmtId="0" fontId="5" fillId="2" borderId="0" xfId="0" applyFont="1" applyFill="1" applyAlignment="1"/>
    <xf numFmtId="0" fontId="5" fillId="0" borderId="0" xfId="0" applyFont="1" applyFill="1" applyBorder="1"/>
    <xf numFmtId="0" fontId="5" fillId="0" borderId="0" xfId="0" applyFont="1" applyAlignment="1">
      <alignment horizontal="right"/>
    </xf>
    <xf numFmtId="0" fontId="5" fillId="0" borderId="0" xfId="0" applyFont="1" applyFill="1" applyBorder="1" applyAlignment="1">
      <alignment horizontal="center" vertical="center" wrapText="1"/>
    </xf>
    <xf numFmtId="4" fontId="5" fillId="0" borderId="0" xfId="0" applyNumberFormat="1" applyFont="1" applyBorder="1"/>
    <xf numFmtId="0" fontId="5" fillId="0" borderId="0" xfId="0" applyFont="1" applyFill="1" applyAlignment="1"/>
    <xf numFmtId="4" fontId="0" fillId="3" borderId="0" xfId="0" applyNumberFormat="1" applyFont="1" applyFill="1" applyBorder="1"/>
    <xf numFmtId="164" fontId="4" fillId="0" borderId="5" xfId="1" applyFont="1" applyFill="1" applyBorder="1"/>
    <xf numFmtId="0" fontId="0" fillId="5" borderId="5" xfId="0" applyFill="1" applyBorder="1"/>
    <xf numFmtId="0" fontId="0" fillId="3" borderId="0" xfId="0" applyFill="1" applyBorder="1" applyAlignment="1">
      <alignment horizontal="right"/>
    </xf>
    <xf numFmtId="9" fontId="0" fillId="3" borderId="0" xfId="0" applyNumberFormat="1" applyFill="1" applyBorder="1"/>
    <xf numFmtId="164" fontId="0" fillId="3" borderId="0" xfId="1" applyFont="1" applyFill="1" applyBorder="1"/>
    <xf numFmtId="0" fontId="0" fillId="3" borderId="8" xfId="0" applyFill="1" applyBorder="1" applyAlignment="1">
      <alignment horizontal="right"/>
    </xf>
    <xf numFmtId="0" fontId="0" fillId="5" borderId="9" xfId="0" applyFill="1" applyBorder="1"/>
    <xf numFmtId="0" fontId="0" fillId="5" borderId="11" xfId="0" applyFill="1" applyBorder="1"/>
    <xf numFmtId="9" fontId="0" fillId="5" borderId="11" xfId="0" applyNumberFormat="1" applyFill="1" applyBorder="1"/>
    <xf numFmtId="0" fontId="0" fillId="5" borderId="12" xfId="0" applyFill="1" applyBorder="1"/>
    <xf numFmtId="0" fontId="0" fillId="5" borderId="14" xfId="0" applyFill="1" applyBorder="1"/>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3" xfId="0" applyFont="1" applyFill="1" applyBorder="1" applyAlignment="1">
      <alignment vertical="center" wrapText="1"/>
    </xf>
    <xf numFmtId="0" fontId="14" fillId="0" borderId="2" xfId="0" applyFont="1" applyFill="1" applyBorder="1" applyAlignment="1">
      <alignment horizontal="center" vertical="center" wrapText="1"/>
    </xf>
    <xf numFmtId="164" fontId="0" fillId="0" borderId="5" xfId="1" applyFont="1" applyFill="1" applyBorder="1"/>
    <xf numFmtId="164" fontId="5" fillId="0" borderId="5" xfId="1" applyFont="1" applyFill="1" applyBorder="1"/>
    <xf numFmtId="0" fontId="5" fillId="0" borderId="0" xfId="0" applyFont="1" applyBorder="1"/>
    <xf numFmtId="4" fontId="10" fillId="0" borderId="0" xfId="0" applyNumberFormat="1" applyFont="1" applyFill="1" applyBorder="1" applyAlignment="1">
      <alignment wrapText="1"/>
    </xf>
    <xf numFmtId="164" fontId="5" fillId="0" borderId="0" xfId="1" applyFont="1" applyBorder="1"/>
    <xf numFmtId="4" fontId="5" fillId="0" borderId="0" xfId="0" applyNumberFormat="1" applyFont="1" applyFill="1" applyBorder="1"/>
    <xf numFmtId="0" fontId="5" fillId="0" borderId="12" xfId="0" applyFont="1" applyFill="1" applyBorder="1" applyAlignment="1">
      <alignment horizontal="center" vertical="center"/>
    </xf>
    <xf numFmtId="9" fontId="0" fillId="0" borderId="0" xfId="3" applyFont="1"/>
    <xf numFmtId="0" fontId="0" fillId="0" borderId="0" xfId="0" applyAlignment="1">
      <alignment vertical="center" wrapText="1"/>
    </xf>
    <xf numFmtId="0" fontId="0" fillId="0" borderId="0" xfId="0" applyAlignment="1">
      <alignment wrapText="1"/>
    </xf>
    <xf numFmtId="0" fontId="12" fillId="3" borderId="7" xfId="0" applyFont="1" applyFill="1" applyBorder="1" applyAlignment="1">
      <alignment wrapText="1"/>
    </xf>
    <xf numFmtId="166" fontId="0" fillId="0" borderId="0" xfId="0" applyNumberFormat="1"/>
    <xf numFmtId="0" fontId="16" fillId="0" borderId="3" xfId="0" applyFont="1" applyFill="1" applyBorder="1" applyAlignment="1">
      <alignment vertical="center" wrapText="1"/>
    </xf>
    <xf numFmtId="4" fontId="2" fillId="7" borderId="1" xfId="0" applyNumberFormat="1" applyFont="1" applyFill="1" applyBorder="1" applyAlignment="1">
      <alignment vertical="center" wrapText="1"/>
    </xf>
    <xf numFmtId="3" fontId="2" fillId="0" borderId="4" xfId="0" applyNumberFormat="1" applyFont="1" applyFill="1" applyBorder="1" applyAlignment="1">
      <alignment vertical="center" wrapText="1"/>
    </xf>
    <xf numFmtId="3" fontId="2" fillId="0" borderId="4" xfId="1" applyNumberFormat="1" applyFont="1" applyFill="1" applyBorder="1" applyAlignment="1">
      <alignment vertical="center" wrapText="1"/>
    </xf>
    <xf numFmtId="3" fontId="2" fillId="7" borderId="4" xfId="1"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16" fillId="0" borderId="4" xfId="0" applyNumberFormat="1" applyFont="1" applyFill="1" applyBorder="1" applyAlignment="1">
      <alignment vertical="center" wrapText="1"/>
    </xf>
    <xf numFmtId="3" fontId="16" fillId="0" borderId="4" xfId="1" applyNumberFormat="1" applyFont="1" applyFill="1" applyBorder="1" applyAlignment="1">
      <alignment vertical="center" wrapText="1"/>
    </xf>
    <xf numFmtId="3" fontId="16" fillId="7" borderId="4" xfId="1" applyNumberFormat="1" applyFont="1" applyFill="1" applyBorder="1" applyAlignment="1">
      <alignment vertical="center" wrapText="1"/>
    </xf>
    <xf numFmtId="3" fontId="16" fillId="7" borderId="4" xfId="0" applyNumberFormat="1" applyFont="1" applyFill="1" applyBorder="1" applyAlignment="1">
      <alignment vertical="center" wrapText="1"/>
    </xf>
    <xf numFmtId="3" fontId="2" fillId="7" borderId="1" xfId="0" applyNumberFormat="1" applyFont="1" applyFill="1" applyBorder="1" applyAlignment="1">
      <alignment vertical="center" wrapText="1"/>
    </xf>
    <xf numFmtId="3" fontId="15" fillId="6" borderId="16" xfId="4" applyNumberFormat="1" applyAlignment="1">
      <alignment vertical="center" wrapText="1"/>
    </xf>
    <xf numFmtId="3" fontId="2" fillId="8" borderId="4" xfId="0" applyNumberFormat="1" applyFont="1" applyFill="1" applyBorder="1" applyAlignment="1">
      <alignment vertical="center" wrapText="1"/>
    </xf>
    <xf numFmtId="3" fontId="2" fillId="0" borderId="1" xfId="0" applyNumberFormat="1" applyFont="1" applyFill="1" applyBorder="1" applyAlignment="1">
      <alignment vertical="center" wrapText="1"/>
    </xf>
    <xf numFmtId="3" fontId="16" fillId="0" borderId="1" xfId="0" applyNumberFormat="1" applyFont="1" applyFill="1" applyBorder="1" applyAlignment="1">
      <alignment vertical="center" wrapText="1"/>
    </xf>
    <xf numFmtId="3" fontId="16" fillId="8" borderId="4" xfId="0" applyNumberFormat="1" applyFont="1" applyFill="1" applyBorder="1" applyAlignment="1">
      <alignment vertical="center" wrapText="1"/>
    </xf>
    <xf numFmtId="3" fontId="0" fillId="0" borderId="0" xfId="0" applyNumberFormat="1"/>
    <xf numFmtId="0" fontId="5" fillId="2" borderId="0" xfId="0" applyFont="1" applyFill="1" applyAlignment="1">
      <alignment horizontal="left"/>
    </xf>
    <xf numFmtId="0" fontId="5" fillId="2" borderId="0" xfId="0" applyFont="1" applyFill="1" applyAlignment="1">
      <alignment horizontal="center"/>
    </xf>
    <xf numFmtId="0" fontId="3" fillId="4" borderId="0" xfId="0" applyFont="1" applyFill="1" applyAlignment="1">
      <alignment horizontal="center" vertical="center"/>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5" fillId="2" borderId="0" xfId="0" applyFont="1" applyFill="1" applyBorder="1" applyAlignment="1">
      <alignment horizontal="center"/>
    </xf>
    <xf numFmtId="0" fontId="0" fillId="5" borderId="6" xfId="0" applyFill="1" applyBorder="1" applyAlignment="1">
      <alignment horizontal="center"/>
    </xf>
    <xf numFmtId="0" fontId="0" fillId="5" borderId="15" xfId="0" applyFill="1" applyBorder="1" applyAlignment="1">
      <alignment horizontal="center"/>
    </xf>
    <xf numFmtId="0" fontId="5" fillId="2" borderId="7" xfId="0" applyFont="1" applyFill="1" applyBorder="1" applyAlignment="1">
      <alignment horizontal="center" wrapText="1"/>
    </xf>
    <xf numFmtId="0" fontId="5" fillId="2" borderId="9" xfId="0" applyFont="1" applyFill="1" applyBorder="1" applyAlignment="1">
      <alignment horizontal="center" wrapText="1"/>
    </xf>
    <xf numFmtId="0" fontId="5" fillId="2" borderId="10" xfId="0" applyFont="1" applyFill="1" applyBorder="1" applyAlignment="1">
      <alignment horizontal="center" wrapText="1"/>
    </xf>
    <xf numFmtId="0" fontId="5" fillId="2" borderId="11" xfId="0" applyFont="1" applyFill="1" applyBorder="1" applyAlignment="1">
      <alignment horizontal="center" wrapText="1"/>
    </xf>
    <xf numFmtId="0" fontId="0" fillId="5" borderId="13" xfId="0" applyFill="1" applyBorder="1" applyAlignment="1">
      <alignment horizontal="center"/>
    </xf>
    <xf numFmtId="165" fontId="0" fillId="0" borderId="0" xfId="0" applyNumberFormat="1"/>
  </cellXfs>
  <cellStyles count="5">
    <cellStyle name="Comma" xfId="1" builtinId="3"/>
    <cellStyle name="Input" xfId="4" builtinId="20"/>
    <cellStyle name="Milliers 2" xfId="2" xr:uid="{00000000-0005-0000-0000-00002F000000}"/>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
  <sheetViews>
    <sheetView topLeftCell="B1" workbookViewId="0">
      <selection activeCell="D6" sqref="D6"/>
    </sheetView>
  </sheetViews>
  <sheetFormatPr defaultColWidth="11.44140625" defaultRowHeight="14.4" x14ac:dyDescent="0.3"/>
  <cols>
    <col min="1" max="1" width="34.21875" style="2" bestFit="1" customWidth="1"/>
    <col min="2" max="2" width="67" style="4" bestFit="1" customWidth="1"/>
    <col min="3" max="3" width="19.6640625" style="4" bestFit="1" customWidth="1"/>
    <col min="4" max="4" width="58.21875" style="6" bestFit="1" customWidth="1"/>
    <col min="5" max="5" width="11.44140625" style="6" bestFit="1" customWidth="1"/>
    <col min="6" max="6" width="11.44140625" style="6"/>
  </cols>
  <sheetData>
    <row r="1" spans="1:6" x14ac:dyDescent="0.3">
      <c r="A1" s="8" t="s">
        <v>3</v>
      </c>
      <c r="B1" s="3" t="s">
        <v>1</v>
      </c>
      <c r="C1" s="3" t="s">
        <v>2</v>
      </c>
      <c r="D1" s="5" t="s">
        <v>11</v>
      </c>
    </row>
    <row r="2" spans="1:6" ht="28.8" x14ac:dyDescent="0.3">
      <c r="A2" s="10" t="s">
        <v>0</v>
      </c>
      <c r="B2" s="11" t="s">
        <v>12</v>
      </c>
      <c r="C2" s="12" t="s">
        <v>61</v>
      </c>
      <c r="D2" s="7" t="s">
        <v>60</v>
      </c>
    </row>
    <row r="3" spans="1:6" ht="28.8" x14ac:dyDescent="0.3">
      <c r="A3" s="10" t="s">
        <v>4</v>
      </c>
      <c r="B3" s="15" t="s">
        <v>5</v>
      </c>
      <c r="C3" s="12" t="s">
        <v>62</v>
      </c>
      <c r="D3" s="16" t="s">
        <v>64</v>
      </c>
      <c r="E3" s="18"/>
      <c r="F3" s="17"/>
    </row>
    <row r="4" spans="1:6" ht="100.8" x14ac:dyDescent="0.3">
      <c r="A4" s="9" t="s">
        <v>6</v>
      </c>
      <c r="B4" s="1" t="s">
        <v>7</v>
      </c>
      <c r="C4" s="4" t="s">
        <v>63</v>
      </c>
      <c r="D4" s="7">
        <v>0.04</v>
      </c>
    </row>
    <row r="5" spans="1:6" ht="28.8" x14ac:dyDescent="0.3">
      <c r="A5" s="9" t="s">
        <v>8</v>
      </c>
      <c r="B5" s="1" t="s">
        <v>9</v>
      </c>
      <c r="C5" s="4" t="s">
        <v>65</v>
      </c>
      <c r="D5" s="7">
        <v>0.23</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13"/>
  <sheetViews>
    <sheetView tabSelected="1" workbookViewId="0">
      <selection activeCell="B23" sqref="B23"/>
    </sheetView>
  </sheetViews>
  <sheetFormatPr defaultColWidth="11.44140625" defaultRowHeight="14.4" x14ac:dyDescent="0.3"/>
  <cols>
    <col min="1" max="1" width="27.44140625" bestFit="1" customWidth="1"/>
    <col min="2" max="9" width="18" customWidth="1"/>
    <col min="10" max="10" width="14.33203125" bestFit="1" customWidth="1"/>
    <col min="11" max="11" width="16.21875" customWidth="1"/>
    <col min="12" max="12" width="14.33203125" bestFit="1" customWidth="1"/>
    <col min="13" max="13" width="17.21875" bestFit="1" customWidth="1"/>
  </cols>
  <sheetData>
    <row r="1" spans="1:13" ht="60.6" thickBot="1" x14ac:dyDescent="0.35">
      <c r="A1" s="81" t="s">
        <v>10</v>
      </c>
      <c r="B1" s="83" t="s">
        <v>72</v>
      </c>
      <c r="C1" s="83" t="s">
        <v>74</v>
      </c>
      <c r="D1" s="83" t="s">
        <v>71</v>
      </c>
      <c r="E1" s="83" t="s">
        <v>70</v>
      </c>
      <c r="F1" s="83" t="s">
        <v>69</v>
      </c>
      <c r="G1" s="83" t="s">
        <v>67</v>
      </c>
      <c r="H1" s="83" t="s">
        <v>66</v>
      </c>
      <c r="I1" s="83" t="s">
        <v>68</v>
      </c>
    </row>
    <row r="2" spans="1:13" ht="15" thickBot="1" x14ac:dyDescent="0.35">
      <c r="A2" s="82">
        <v>2019</v>
      </c>
      <c r="B2" s="107">
        <f>8492519.06755963/2</f>
        <v>4246259.5337798148</v>
      </c>
      <c r="C2" s="108">
        <f>982145.734585349/2</f>
        <v>491072.86729267449</v>
      </c>
      <c r="D2" s="98">
        <f>-139202.987186087/2</f>
        <v>-69601.493593043502</v>
      </c>
      <c r="E2" s="99">
        <f>(B2*(1-Efficacité!B2))+(C2*(1-Efficacité!C2))</f>
        <v>4288152.804329874</v>
      </c>
      <c r="F2" s="99">
        <f>-SUM('Absorption - AS1 Agroforesterie'!C34,'Absorption - FS2 Forêt classées'!R11)/2</f>
        <v>-480826.65425287356</v>
      </c>
      <c r="G2" s="100">
        <f>((B2+D2+C2)-(E2+F2))*Paramètres!$D$4</f>
        <v>34416.190296097811</v>
      </c>
      <c r="H2" s="100">
        <f>(B2+D2+C2-(E2+F2)-G2)-I2</f>
        <v>154453.14669468289</v>
      </c>
      <c r="I2" s="101">
        <f>(B2+D2+C2-(E2+F2)-G2)/(1+Paramètres!$D$5)</f>
        <v>671535.42041166453</v>
      </c>
      <c r="J2" s="19"/>
      <c r="K2" s="130">
        <f>+B2+C2</f>
        <v>4737332.4010724891</v>
      </c>
      <c r="L2" s="19"/>
      <c r="M2" s="95"/>
    </row>
    <row r="3" spans="1:13" ht="15" thickBot="1" x14ac:dyDescent="0.35">
      <c r="A3" s="82">
        <v>2020</v>
      </c>
      <c r="B3" s="107">
        <v>8492519.0675596315</v>
      </c>
      <c r="C3" s="108">
        <v>982145.73458534852</v>
      </c>
      <c r="D3" s="98">
        <v>-139202.98718608741</v>
      </c>
      <c r="E3" s="99">
        <f>(B3*(1-Efficacité!B3))+(C3*(1-Efficacité!C3))</f>
        <v>7727053.7019037865</v>
      </c>
      <c r="F3" s="99">
        <f>-SUM('Absorption - AS1 Agroforesterie'!C35,'Absorption - FS2 Forêt classées'!R12)</f>
        <v>-2035766.9554022988</v>
      </c>
      <c r="G3" s="100">
        <f>((B3+D3+C3)-(E3+F3))*Paramètres!$D$4</f>
        <v>145767.0027382962</v>
      </c>
      <c r="H3" s="100">
        <f t="shared" ref="H3:H10" si="0">(B3+D3+C3-(E3+F3)-G3)-I3</f>
        <v>654173.86594747566</v>
      </c>
      <c r="I3" s="101">
        <f>(B3+D3+C3-(E3+F3)-G3)/(1+Paramètres!$D$5)</f>
        <v>2844234.1997716334</v>
      </c>
      <c r="J3" s="19"/>
      <c r="K3" s="130">
        <f t="shared" ref="K3:K12" si="1">+B3+C3</f>
        <v>9474664.8021449801</v>
      </c>
    </row>
    <row r="4" spans="1:13" ht="15" thickBot="1" x14ac:dyDescent="0.35">
      <c r="A4" s="82">
        <v>2021</v>
      </c>
      <c r="B4" s="109">
        <f t="shared" ref="B4:C10" si="2">B3</f>
        <v>8492519.0675596315</v>
      </c>
      <c r="C4" s="108">
        <f t="shared" si="2"/>
        <v>982145.73458534852</v>
      </c>
      <c r="D4" s="98">
        <f>+D3</f>
        <v>-139202.98718608741</v>
      </c>
      <c r="E4" s="99">
        <f>(B4*(1-Efficacité!B4))+(C4*(1-Efficacité!C4))</f>
        <v>7677946.4151745196</v>
      </c>
      <c r="F4" s="99">
        <f>-SUM('Absorption - AS1 Agroforesterie'!C36,'Absorption - FS2 Forêt classées'!R13)</f>
        <v>-3202548.0110344826</v>
      </c>
      <c r="G4" s="100">
        <f>((B4+D4+C4)-(E4+F4))*Paramètres!$D$4</f>
        <v>194402.53643275425</v>
      </c>
      <c r="H4" s="100">
        <f t="shared" si="0"/>
        <v>872440.65130797029</v>
      </c>
      <c r="I4" s="101">
        <f>(B4+D4+C4-(E4+F4)-G4)/(1+Paramètres!$D$5)</f>
        <v>3793220.2230781317</v>
      </c>
      <c r="J4" s="19"/>
      <c r="K4" s="130">
        <f t="shared" si="1"/>
        <v>9474664.8021449801</v>
      </c>
    </row>
    <row r="5" spans="1:13" ht="15" thickBot="1" x14ac:dyDescent="0.35">
      <c r="A5" s="82">
        <v>2022</v>
      </c>
      <c r="B5" s="109">
        <f t="shared" si="2"/>
        <v>8492519.0675596315</v>
      </c>
      <c r="C5" s="108">
        <f t="shared" si="2"/>
        <v>982145.73458534852</v>
      </c>
      <c r="D5" s="98">
        <f t="shared" ref="D5:D10" si="3">+D4</f>
        <v>-139202.98718608741</v>
      </c>
      <c r="E5" s="99">
        <f>(B5*(1-Efficacité!B5))+(C5*(1-Efficacité!C5))</f>
        <v>7253320.461796538</v>
      </c>
      <c r="F5" s="99">
        <f>-SUM('Absorption - AS1 Agroforesterie'!C37,'Absorption - FS2 Forêt classées'!R14)</f>
        <v>-4300266.9903448271</v>
      </c>
      <c r="G5" s="100">
        <f>((B5+D5+C5)-(E5+F5))*Paramètres!$D$4</f>
        <v>255296.33374028729</v>
      </c>
      <c r="H5" s="100">
        <f t="shared" si="0"/>
        <v>1145720.1319076307</v>
      </c>
      <c r="I5" s="101">
        <f>(B5+D5+C5-(E5+F5)-G5)/(1+Paramètres!$D$5)</f>
        <v>4981391.8778592637</v>
      </c>
      <c r="J5" s="19"/>
      <c r="K5" s="130">
        <f t="shared" si="1"/>
        <v>9474664.8021449801</v>
      </c>
    </row>
    <row r="6" spans="1:13" ht="15" thickBot="1" x14ac:dyDescent="0.35">
      <c r="A6" s="82">
        <v>2023</v>
      </c>
      <c r="B6" s="109">
        <f t="shared" si="2"/>
        <v>8492519.0675596315</v>
      </c>
      <c r="C6" s="108">
        <f t="shared" si="2"/>
        <v>982145.73458534852</v>
      </c>
      <c r="D6" s="98">
        <f t="shared" si="3"/>
        <v>-139202.98718608741</v>
      </c>
      <c r="E6" s="99">
        <f>(B6*(1-Efficacité!B6))+(C6*(1-Efficacité!C6))</f>
        <v>7204213.1750672702</v>
      </c>
      <c r="F6" s="99">
        <f>-SUM('Absorption - AS1 Agroforesterie'!C38,'Absorption - FS2 Forêt classées'!R15)</f>
        <v>-4361115.3135632183</v>
      </c>
      <c r="G6" s="100">
        <f>((B6+D6+C6)-(E6+F6))*Paramètres!$D$4</f>
        <v>259694.55813819365</v>
      </c>
      <c r="H6" s="100">
        <f t="shared" si="0"/>
        <v>1165458.5048153084</v>
      </c>
      <c r="I6" s="101">
        <f>(B6+D6+C6-(E6+F6)-G6)/(1+Paramètres!$D$5)</f>
        <v>5067210.890501339</v>
      </c>
      <c r="J6" s="19"/>
      <c r="K6" s="130">
        <f t="shared" si="1"/>
        <v>9474664.8021449801</v>
      </c>
    </row>
    <row r="7" spans="1:13" ht="15" thickBot="1" x14ac:dyDescent="0.35">
      <c r="A7" s="82">
        <v>2024</v>
      </c>
      <c r="B7" s="109">
        <f t="shared" si="2"/>
        <v>8492519.0675596315</v>
      </c>
      <c r="C7" s="108">
        <f t="shared" si="2"/>
        <v>982145.73458534852</v>
      </c>
      <c r="D7" s="98">
        <f t="shared" si="3"/>
        <v>-139202.98718608741</v>
      </c>
      <c r="E7" s="99">
        <f>(B7*(1-Efficacité!B7))+(C7*(1-Efficacité!C7))</f>
        <v>7204213.1750672702</v>
      </c>
      <c r="F7" s="99">
        <f>-SUM('Absorption - AS1 Agroforesterie'!C39,'Absorption - FS2 Forêt classées'!R16)</f>
        <v>-4433307.3956321832</v>
      </c>
      <c r="G7" s="100">
        <f>((B7+D7+C7)-(E7+F7))*Paramètres!$D$4</f>
        <v>262582.24142095225</v>
      </c>
      <c r="H7" s="100">
        <f t="shared" si="0"/>
        <v>1178417.8639379321</v>
      </c>
      <c r="I7" s="101">
        <f>(B7+D7+C7-(E7+F7)-G7)/(1+Paramètres!$D$5)</f>
        <v>5123555.9301649211</v>
      </c>
      <c r="J7" s="19"/>
      <c r="K7" s="130">
        <f t="shared" si="1"/>
        <v>9474664.8021449801</v>
      </c>
    </row>
    <row r="8" spans="1:13" ht="15" thickBot="1" x14ac:dyDescent="0.35">
      <c r="A8" s="96">
        <v>2025</v>
      </c>
      <c r="B8" s="110">
        <f t="shared" si="2"/>
        <v>8492519.0675596315</v>
      </c>
      <c r="C8" s="111">
        <f t="shared" si="2"/>
        <v>982145.73458534852</v>
      </c>
      <c r="D8" s="102">
        <f t="shared" si="3"/>
        <v>-139202.98718608741</v>
      </c>
      <c r="E8" s="103">
        <f>(B8*(1-Efficacité!B8))+(C8*(1-Efficacité!C8))</f>
        <v>6730479.9349600207</v>
      </c>
      <c r="F8" s="103">
        <f>-SUM('Absorption - AS1 Agroforesterie'!C40,'Absorption - FS2 Forêt classées'!R17)</f>
        <v>-4511534.2749425285</v>
      </c>
      <c r="G8" s="104">
        <f>((B8+D8+C8)-(E8+F8))*Paramètres!$D$4</f>
        <v>284660.64619765605</v>
      </c>
      <c r="H8" s="104">
        <f t="shared" si="0"/>
        <v>1277501.4365943586</v>
      </c>
      <c r="I8" s="105">
        <f>(B8+D8+C8-(E8+F8)-G8)/(1+Paramètres!$D$5)</f>
        <v>5554354.0721493857</v>
      </c>
      <c r="J8" s="19"/>
      <c r="K8" s="130">
        <f t="shared" si="1"/>
        <v>9474664.8021449801</v>
      </c>
    </row>
    <row r="9" spans="1:13" ht="15" thickBot="1" x14ac:dyDescent="0.35">
      <c r="A9" s="96">
        <v>2026</v>
      </c>
      <c r="B9" s="110">
        <f t="shared" si="2"/>
        <v>8492519.0675596315</v>
      </c>
      <c r="C9" s="111">
        <f t="shared" si="2"/>
        <v>982145.73458534852</v>
      </c>
      <c r="D9" s="102">
        <f t="shared" si="3"/>
        <v>-139202.98718608741</v>
      </c>
      <c r="E9" s="103">
        <f>(B9*(1-Efficacité!B9))+(C9*(1-Efficacité!C9))</f>
        <v>6681372.6482307529</v>
      </c>
      <c r="F9" s="103">
        <f>-SUM('Absorption - AS1 Agroforesterie'!C41,'Absorption - FS2 Forêt classées'!R18)</f>
        <v>-4593514.677931034</v>
      </c>
      <c r="G9" s="104">
        <f>((B9+D9+C9)-(E9+F9))*Paramètres!$D$4</f>
        <v>289904.15378636698</v>
      </c>
      <c r="H9" s="104">
        <f t="shared" si="0"/>
        <v>1301033.2755290614</v>
      </c>
      <c r="I9" s="105">
        <f>(B9+D9+C9-(E9+F9)-G9)/(1+Paramètres!$D$5)</f>
        <v>5656666.4153437456</v>
      </c>
      <c r="J9" s="19"/>
      <c r="K9" s="130">
        <f t="shared" si="1"/>
        <v>9474664.8021449801</v>
      </c>
    </row>
    <row r="10" spans="1:13" ht="15" thickBot="1" x14ac:dyDescent="0.35">
      <c r="A10" s="96">
        <v>2027</v>
      </c>
      <c r="B10" s="110">
        <f t="shared" si="2"/>
        <v>8492519.0675596315</v>
      </c>
      <c r="C10" s="111">
        <f t="shared" si="2"/>
        <v>982145.73458534852</v>
      </c>
      <c r="D10" s="102">
        <f t="shared" si="3"/>
        <v>-139202.98718608741</v>
      </c>
      <c r="E10" s="103">
        <f>(B10*(1-Efficacité!B10))+(C10*(1-Efficacité!C10))</f>
        <v>6632265.3615014851</v>
      </c>
      <c r="F10" s="103">
        <f>-SUM('Absorption - AS1 Agroforesterie'!C42,'Absorption - FS2 Forêt classées'!R19)</f>
        <v>-4677521.5211494248</v>
      </c>
      <c r="G10" s="104">
        <f>((B10+D10+C10)-(E10+F10))*Paramètres!$D$4</f>
        <v>295228.71898427332</v>
      </c>
      <c r="H10" s="104">
        <f t="shared" si="0"/>
        <v>1324928.885197714</v>
      </c>
      <c r="I10" s="105">
        <f>(B10+D10+C10-(E10+F10)-G10)/(1+Paramètres!$D$5)</f>
        <v>5760560.3704248453</v>
      </c>
      <c r="J10" s="19"/>
      <c r="K10" s="130">
        <f t="shared" si="1"/>
        <v>9474664.8021449801</v>
      </c>
    </row>
    <row r="11" spans="1:13" ht="15" thickBot="1" x14ac:dyDescent="0.35">
      <c r="A11" s="82" t="s">
        <v>80</v>
      </c>
      <c r="B11" s="106">
        <f>SUM(B2:B7)</f>
        <v>46708854.871577971</v>
      </c>
      <c r="C11" s="106">
        <f t="shared" ref="C11:H11" si="4">SUM(C2:C7)</f>
        <v>5401801.5402194168</v>
      </c>
      <c r="D11" s="106">
        <f t="shared" si="4"/>
        <v>-765616.42952348059</v>
      </c>
      <c r="E11" s="106">
        <f t="shared" si="4"/>
        <v>41354899.733339258</v>
      </c>
      <c r="F11" s="106">
        <f t="shared" si="4"/>
        <v>-18813831.320229884</v>
      </c>
      <c r="G11" s="106">
        <f t="shared" si="4"/>
        <v>1152158.8627665816</v>
      </c>
      <c r="H11" s="106">
        <f t="shared" si="4"/>
        <v>5170664.1646110006</v>
      </c>
      <c r="I11" s="106">
        <f>SUM(I2:I7)</f>
        <v>22481148.541786954</v>
      </c>
      <c r="J11" s="97"/>
      <c r="K11" s="130">
        <f t="shared" si="1"/>
        <v>52110656.411797389</v>
      </c>
    </row>
    <row r="12" spans="1:13" x14ac:dyDescent="0.3">
      <c r="A12" t="s">
        <v>81</v>
      </c>
      <c r="B12" s="112">
        <f t="shared" ref="B12:H12" si="5">+SUM(B2:B10)</f>
        <v>72186412.074256867</v>
      </c>
      <c r="C12" s="112">
        <f t="shared" si="5"/>
        <v>8348238.7439754624</v>
      </c>
      <c r="D12" s="112">
        <f t="shared" si="5"/>
        <v>-1183225.3910817429</v>
      </c>
      <c r="E12" s="112">
        <f t="shared" si="5"/>
        <v>61399017.678031519</v>
      </c>
      <c r="F12" s="112">
        <f t="shared" si="5"/>
        <v>-32596401.794252872</v>
      </c>
      <c r="G12" s="112">
        <f t="shared" si="5"/>
        <v>2021952.3817348781</v>
      </c>
      <c r="H12" s="112">
        <f t="shared" si="5"/>
        <v>9074127.7619321346</v>
      </c>
      <c r="I12" s="112">
        <f>+SUM(I2:I10)</f>
        <v>39452729.399704926</v>
      </c>
      <c r="J12" s="112"/>
      <c r="K12" s="130">
        <f t="shared" si="1"/>
        <v>80534650.818232328</v>
      </c>
    </row>
    <row r="13" spans="1:13" x14ac:dyDescent="0.3">
      <c r="G13" s="20"/>
      <c r="H13" s="9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workbookViewId="0">
      <selection activeCell="C4" sqref="C4"/>
    </sheetView>
  </sheetViews>
  <sheetFormatPr defaultColWidth="11.44140625" defaultRowHeight="14.4" x14ac:dyDescent="0.3"/>
  <cols>
    <col min="1" max="1" width="14.6640625" bestFit="1" customWidth="1"/>
    <col min="2" max="3" width="15.44140625" customWidth="1"/>
    <col min="6" max="6" width="25.33203125" customWidth="1"/>
  </cols>
  <sheetData>
    <row r="1" spans="1:11" ht="57.6" x14ac:dyDescent="0.3">
      <c r="A1" t="str">
        <f>Tableau!A1</f>
        <v>Année</v>
      </c>
      <c r="B1" s="93" t="s">
        <v>75</v>
      </c>
      <c r="C1" s="93" t="s">
        <v>76</v>
      </c>
      <c r="E1" s="24" t="s">
        <v>10</v>
      </c>
      <c r="F1" s="25" t="s">
        <v>16</v>
      </c>
    </row>
    <row r="2" spans="1:11" x14ac:dyDescent="0.3">
      <c r="A2">
        <f>Tableau!A2</f>
        <v>2019</v>
      </c>
      <c r="B2" s="21">
        <v>0.1</v>
      </c>
      <c r="C2" s="21">
        <v>0.05</v>
      </c>
      <c r="E2" s="26">
        <v>2019</v>
      </c>
      <c r="F2" s="27">
        <v>0.1</v>
      </c>
      <c r="G2" s="92"/>
      <c r="H2" s="92"/>
      <c r="I2" s="92"/>
      <c r="J2" s="92"/>
      <c r="K2" s="92"/>
    </row>
    <row r="3" spans="1:11" x14ac:dyDescent="0.3">
      <c r="A3">
        <f>Tableau!A3</f>
        <v>2020</v>
      </c>
      <c r="B3" s="21">
        <v>0.2</v>
      </c>
      <c r="C3" s="21">
        <v>0.05</v>
      </c>
      <c r="E3" s="26" t="s">
        <v>15</v>
      </c>
      <c r="F3" s="27">
        <v>0.2</v>
      </c>
      <c r="G3" s="92"/>
      <c r="H3" s="92"/>
      <c r="I3" s="92"/>
      <c r="J3" s="92"/>
      <c r="K3" s="92"/>
    </row>
    <row r="4" spans="1:11" x14ac:dyDescent="0.3">
      <c r="A4">
        <f>Tableau!A4</f>
        <v>2021</v>
      </c>
      <c r="B4" s="21">
        <v>0.2</v>
      </c>
      <c r="C4" s="21">
        <v>0.1</v>
      </c>
      <c r="E4" s="26" t="s">
        <v>17</v>
      </c>
      <c r="F4" s="27">
        <v>0.25</v>
      </c>
      <c r="G4" s="92"/>
      <c r="H4" s="92"/>
      <c r="I4" s="92"/>
      <c r="J4" s="92"/>
      <c r="K4" s="92"/>
    </row>
    <row r="5" spans="1:11" x14ac:dyDescent="0.3">
      <c r="A5">
        <f>Tableau!A5</f>
        <v>2022</v>
      </c>
      <c r="B5" s="21">
        <v>0.25</v>
      </c>
      <c r="C5" s="21">
        <v>0.1</v>
      </c>
      <c r="E5" s="26" t="s">
        <v>73</v>
      </c>
      <c r="F5" s="27">
        <v>0.3</v>
      </c>
      <c r="G5" s="92"/>
      <c r="H5" s="92"/>
      <c r="I5" s="92"/>
      <c r="J5" s="92"/>
      <c r="K5" s="92"/>
    </row>
    <row r="6" spans="1:11" x14ac:dyDescent="0.3">
      <c r="A6">
        <f>Tableau!A6</f>
        <v>2023</v>
      </c>
      <c r="B6" s="21">
        <v>0.25</v>
      </c>
      <c r="C6" s="21">
        <v>0.15</v>
      </c>
      <c r="G6" s="92"/>
      <c r="H6" s="92"/>
      <c r="I6" s="92"/>
      <c r="J6" s="92"/>
      <c r="K6" s="92"/>
    </row>
    <row r="7" spans="1:11" x14ac:dyDescent="0.3">
      <c r="A7">
        <f>Tableau!A7</f>
        <v>2024</v>
      </c>
      <c r="B7" s="21">
        <v>0.25</v>
      </c>
      <c r="C7" s="21">
        <v>0.15</v>
      </c>
      <c r="G7" s="92"/>
      <c r="H7" s="92"/>
      <c r="I7" s="92"/>
      <c r="J7" s="92"/>
      <c r="K7" s="92"/>
    </row>
    <row r="8" spans="1:11" x14ac:dyDescent="0.3">
      <c r="A8">
        <f>Tableau!A8</f>
        <v>2025</v>
      </c>
      <c r="B8" s="21">
        <v>0.3</v>
      </c>
      <c r="C8" s="21">
        <v>0.2</v>
      </c>
      <c r="G8" s="92"/>
      <c r="H8" s="92"/>
      <c r="I8" s="92"/>
      <c r="J8" s="92"/>
      <c r="K8" s="92"/>
    </row>
    <row r="9" spans="1:11" x14ac:dyDescent="0.3">
      <c r="A9">
        <f>Tableau!A9</f>
        <v>2026</v>
      </c>
      <c r="B9" s="21">
        <v>0.3</v>
      </c>
      <c r="C9" s="21">
        <v>0.25</v>
      </c>
      <c r="G9" s="92"/>
      <c r="H9" s="92"/>
      <c r="I9" s="92"/>
      <c r="J9" s="92"/>
      <c r="K9" s="92"/>
    </row>
    <row r="10" spans="1:11" x14ac:dyDescent="0.3">
      <c r="A10">
        <f>Tableau!A10</f>
        <v>2027</v>
      </c>
      <c r="B10" s="21">
        <v>0.3</v>
      </c>
      <c r="C10" s="21">
        <v>0.3</v>
      </c>
    </row>
    <row r="11" spans="1:11" x14ac:dyDescent="0.3">
      <c r="B11" s="21"/>
    </row>
    <row r="12" spans="1:11" x14ac:dyDescent="0.3">
      <c r="B12" s="21"/>
    </row>
    <row r="13" spans="1:11" x14ac:dyDescent="0.3">
      <c r="B13" s="21"/>
    </row>
    <row r="14" spans="1:11" x14ac:dyDescent="0.3">
      <c r="B14" s="21"/>
    </row>
    <row r="15" spans="1:11" x14ac:dyDescent="0.3">
      <c r="B15" s="21"/>
    </row>
    <row r="16" spans="1:11" x14ac:dyDescent="0.3">
      <c r="B16" s="21"/>
    </row>
    <row r="17" spans="2:2" x14ac:dyDescent="0.3">
      <c r="B17" s="21"/>
    </row>
    <row r="18" spans="2:2" x14ac:dyDescent="0.3">
      <c r="B18" s="21"/>
    </row>
    <row r="19" spans="2:2" x14ac:dyDescent="0.3">
      <c r="B19" s="21"/>
    </row>
    <row r="20" spans="2:2" x14ac:dyDescent="0.3">
      <c r="B20" s="21"/>
    </row>
    <row r="21" spans="2:2" x14ac:dyDescent="0.3">
      <c r="B21" s="21"/>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J55"/>
  <sheetViews>
    <sheetView topLeftCell="A13" zoomScale="70" zoomScaleNormal="70" zoomScalePageLayoutView="70" workbookViewId="0">
      <selection activeCell="C34" sqref="C34:C43"/>
    </sheetView>
  </sheetViews>
  <sheetFormatPr defaultColWidth="11.44140625" defaultRowHeight="14.4" x14ac:dyDescent="0.3"/>
  <cols>
    <col min="1" max="1" width="19.33203125" bestFit="1" customWidth="1"/>
    <col min="2" max="2" width="31.33203125" bestFit="1" customWidth="1"/>
    <col min="3" max="3" width="16.44140625" bestFit="1" customWidth="1"/>
    <col min="4" max="4" width="14.5546875" customWidth="1"/>
    <col min="5" max="5" width="11.33203125" customWidth="1"/>
    <col min="6" max="6" width="48.33203125" customWidth="1"/>
    <col min="7" max="7" width="14.44140625" bestFit="1" customWidth="1"/>
    <col min="8" max="8" width="9.6640625" bestFit="1" customWidth="1"/>
    <col min="9" max="9" width="11" bestFit="1" customWidth="1"/>
  </cols>
  <sheetData>
    <row r="2" spans="1:36" x14ac:dyDescent="0.3">
      <c r="A2" s="28"/>
      <c r="B2" s="14"/>
    </row>
    <row r="3" spans="1:36" x14ac:dyDescent="0.3">
      <c r="A3" s="29"/>
      <c r="B3" s="61" t="s">
        <v>25</v>
      </c>
      <c r="C3" s="61"/>
      <c r="D3" s="61"/>
      <c r="F3" s="113" t="s">
        <v>27</v>
      </c>
      <c r="G3" s="113"/>
      <c r="H3" s="113"/>
      <c r="I3" s="113"/>
      <c r="J3" s="113"/>
      <c r="K3" s="113"/>
      <c r="L3" s="113"/>
      <c r="M3" s="30"/>
      <c r="N3" s="30"/>
      <c r="O3" s="30"/>
      <c r="P3" s="31"/>
      <c r="Q3" s="30"/>
      <c r="R3" s="30"/>
      <c r="S3" s="31"/>
      <c r="T3" s="31"/>
      <c r="U3" s="30"/>
      <c r="V3" s="30"/>
      <c r="W3" s="30"/>
      <c r="X3" s="30"/>
      <c r="Y3" s="30"/>
      <c r="Z3" s="30"/>
      <c r="AA3" s="30"/>
      <c r="AB3" s="30"/>
      <c r="AC3" s="30"/>
      <c r="AD3" s="30"/>
      <c r="AE3" s="30"/>
    </row>
    <row r="4" spans="1:36" ht="60" customHeight="1" x14ac:dyDescent="0.3">
      <c r="B4" s="94" t="s">
        <v>78</v>
      </c>
      <c r="C4" s="47" t="s">
        <v>18</v>
      </c>
      <c r="D4" s="49"/>
      <c r="F4" s="116" t="s">
        <v>79</v>
      </c>
      <c r="G4" s="117"/>
      <c r="H4" s="117"/>
      <c r="I4" s="117"/>
      <c r="J4" s="117"/>
      <c r="K4" s="117"/>
      <c r="L4" s="118"/>
      <c r="M4" s="30"/>
      <c r="N4" s="30"/>
      <c r="O4" s="30"/>
      <c r="P4" s="30"/>
      <c r="Q4" s="31"/>
      <c r="R4" s="30"/>
      <c r="S4" s="30"/>
      <c r="T4" s="31"/>
      <c r="U4" s="31"/>
      <c r="V4" s="30"/>
      <c r="W4" s="30"/>
      <c r="X4" s="30"/>
      <c r="Y4" s="30"/>
      <c r="Z4" s="30"/>
      <c r="AA4" s="30"/>
      <c r="AB4" s="30"/>
      <c r="AC4" s="30"/>
      <c r="AD4" s="30"/>
      <c r="AE4" s="30"/>
      <c r="AF4" s="30"/>
    </row>
    <row r="5" spans="1:36" ht="14.55" customHeight="1" x14ac:dyDescent="0.3">
      <c r="B5" s="50" t="s">
        <v>24</v>
      </c>
      <c r="C5" s="51" t="s">
        <v>19</v>
      </c>
      <c r="D5" s="52">
        <v>3.55</v>
      </c>
      <c r="F5" s="119" t="s">
        <v>77</v>
      </c>
      <c r="G5" s="120"/>
      <c r="H5" s="120"/>
      <c r="I5" s="120"/>
      <c r="J5" s="120"/>
      <c r="K5" s="120"/>
      <c r="L5" s="121"/>
      <c r="M5" s="30"/>
      <c r="N5" s="30"/>
      <c r="O5" s="30"/>
      <c r="P5" s="30"/>
      <c r="Q5" s="31"/>
      <c r="R5" s="30"/>
      <c r="S5" s="30"/>
      <c r="T5" s="31"/>
      <c r="U5" s="31"/>
      <c r="V5" s="30"/>
      <c r="W5" s="30"/>
      <c r="X5" s="30"/>
      <c r="Y5" s="30"/>
      <c r="Z5" s="30"/>
      <c r="AA5" s="30"/>
      <c r="AB5" s="30"/>
      <c r="AC5" s="30"/>
      <c r="AD5" s="30"/>
      <c r="AE5" s="30"/>
      <c r="AF5" s="30"/>
    </row>
    <row r="6" spans="1:36" x14ac:dyDescent="0.3">
      <c r="B6" s="53" t="s">
        <v>21</v>
      </c>
      <c r="C6" s="54" t="s">
        <v>14</v>
      </c>
      <c r="D6" s="55">
        <f>44/12</f>
        <v>3.6666666666666665</v>
      </c>
      <c r="F6" s="119"/>
      <c r="G6" s="120"/>
      <c r="H6" s="120"/>
      <c r="I6" s="120"/>
      <c r="J6" s="120"/>
      <c r="K6" s="120"/>
      <c r="L6" s="121"/>
      <c r="M6" s="30"/>
      <c r="N6" s="30"/>
      <c r="O6" s="30"/>
      <c r="P6" s="31"/>
      <c r="Q6" s="30"/>
      <c r="R6" s="30"/>
      <c r="S6" s="30"/>
      <c r="T6" s="30"/>
      <c r="U6" s="30"/>
      <c r="V6" s="30"/>
      <c r="W6" s="30"/>
      <c r="X6" s="30"/>
      <c r="Y6" s="30"/>
      <c r="Z6" s="30"/>
      <c r="AA6" s="30"/>
      <c r="AB6" s="30"/>
      <c r="AC6" s="30"/>
      <c r="AD6" s="30"/>
      <c r="AE6" s="30"/>
      <c r="AF6" s="30"/>
    </row>
    <row r="7" spans="1:36" ht="28.95" customHeight="1" x14ac:dyDescent="0.3">
      <c r="A7" s="56"/>
      <c r="B7" s="57" t="s">
        <v>23</v>
      </c>
      <c r="C7" s="58" t="s">
        <v>22</v>
      </c>
      <c r="D7" s="59" t="s">
        <v>31</v>
      </c>
      <c r="F7" s="115" t="s">
        <v>40</v>
      </c>
      <c r="G7" s="115"/>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row>
    <row r="8" spans="1:36" x14ac:dyDescent="0.3">
      <c r="A8" s="28"/>
      <c r="B8" s="32">
        <v>2019</v>
      </c>
      <c r="C8" s="35">
        <f>16000</f>
        <v>16000</v>
      </c>
      <c r="D8" s="36">
        <f>C8*($D$5*$D$6)</f>
        <v>208266.66666666666</v>
      </c>
      <c r="F8" s="63" t="s">
        <v>26</v>
      </c>
      <c r="G8" s="60">
        <v>1</v>
      </c>
      <c r="H8" s="60">
        <v>2</v>
      </c>
      <c r="I8" s="60">
        <v>3</v>
      </c>
      <c r="J8" s="60">
        <v>4</v>
      </c>
      <c r="K8" s="60">
        <v>5</v>
      </c>
      <c r="L8" s="60">
        <v>6</v>
      </c>
      <c r="M8" s="60">
        <v>7</v>
      </c>
      <c r="N8" s="60">
        <v>8</v>
      </c>
      <c r="O8" s="60">
        <v>9</v>
      </c>
      <c r="P8" s="60">
        <v>10</v>
      </c>
      <c r="Q8" s="60">
        <v>11</v>
      </c>
      <c r="R8" s="60">
        <v>12</v>
      </c>
      <c r="S8" s="60">
        <v>13</v>
      </c>
      <c r="T8" s="60">
        <v>14</v>
      </c>
      <c r="U8" s="60">
        <v>15</v>
      </c>
      <c r="V8" s="60">
        <v>16</v>
      </c>
      <c r="W8" s="60">
        <v>17</v>
      </c>
      <c r="X8" s="60">
        <v>18</v>
      </c>
      <c r="Y8" s="60">
        <v>19</v>
      </c>
      <c r="Z8" s="60">
        <v>20</v>
      </c>
      <c r="AA8" s="60">
        <v>21</v>
      </c>
      <c r="AB8" s="60">
        <v>22</v>
      </c>
      <c r="AC8" s="60">
        <v>23</v>
      </c>
      <c r="AD8" s="60">
        <v>24</v>
      </c>
      <c r="AE8" s="60">
        <v>25</v>
      </c>
      <c r="AF8" s="60">
        <v>26</v>
      </c>
      <c r="AG8" s="60">
        <v>27</v>
      </c>
      <c r="AH8" s="60">
        <v>28</v>
      </c>
      <c r="AI8" s="60">
        <v>29</v>
      </c>
      <c r="AJ8" s="60">
        <v>30</v>
      </c>
    </row>
    <row r="9" spans="1:36" x14ac:dyDescent="0.3">
      <c r="A9" s="29"/>
      <c r="B9" s="32">
        <v>2020</v>
      </c>
      <c r="C9" s="35">
        <f>C8+24000</f>
        <v>40000</v>
      </c>
      <c r="D9" s="36">
        <f t="shared" ref="D9:D28" si="0">C9*($D$5*$D$6)</f>
        <v>520666.66666666663</v>
      </c>
      <c r="E9" s="40"/>
      <c r="F9" s="63" t="s">
        <v>28</v>
      </c>
      <c r="G9" s="37">
        <v>1.36</v>
      </c>
      <c r="H9" s="37">
        <v>4.09</v>
      </c>
      <c r="I9" s="37">
        <v>8.18</v>
      </c>
      <c r="J9" s="37">
        <v>12.68</v>
      </c>
      <c r="K9" s="37">
        <v>17.61</v>
      </c>
      <c r="L9" s="37">
        <v>22.95</v>
      </c>
      <c r="M9" s="37">
        <v>28.29</v>
      </c>
      <c r="N9" s="37">
        <v>33.619999999999997</v>
      </c>
      <c r="O9" s="37">
        <v>38.94</v>
      </c>
      <c r="P9" s="37">
        <v>44.26</v>
      </c>
      <c r="Q9" s="37">
        <v>49.54</v>
      </c>
      <c r="R9" s="37">
        <v>54.79</v>
      </c>
      <c r="S9" s="37">
        <v>60.01</v>
      </c>
      <c r="T9" s="37">
        <v>65.19</v>
      </c>
      <c r="U9" s="37">
        <v>70.34</v>
      </c>
      <c r="V9" s="37">
        <v>75.45</v>
      </c>
      <c r="W9" s="37">
        <v>80.52</v>
      </c>
      <c r="X9" s="37">
        <v>85.54</v>
      </c>
      <c r="Y9" s="37">
        <v>90.52</v>
      </c>
      <c r="Z9" s="37">
        <v>95.45</v>
      </c>
      <c r="AA9" s="37">
        <v>100.35</v>
      </c>
      <c r="AB9" s="37">
        <v>105.21</v>
      </c>
      <c r="AC9" s="37">
        <v>110.03</v>
      </c>
      <c r="AD9" s="37">
        <v>114.82</v>
      </c>
      <c r="AE9" s="37">
        <v>119.58</v>
      </c>
      <c r="AF9" s="37">
        <v>124.29</v>
      </c>
      <c r="AG9" s="37">
        <v>128.97</v>
      </c>
      <c r="AH9" s="37">
        <v>133.61000000000001</v>
      </c>
      <c r="AI9" s="37">
        <v>138.22</v>
      </c>
      <c r="AJ9" s="37">
        <v>142.79</v>
      </c>
    </row>
    <row r="10" spans="1:36" x14ac:dyDescent="0.3">
      <c r="A10" s="29"/>
      <c r="B10" s="32">
        <v>2021</v>
      </c>
      <c r="C10" s="42">
        <f>C9+30000</f>
        <v>70000</v>
      </c>
      <c r="D10" s="36">
        <f t="shared" si="0"/>
        <v>911166.66666666663</v>
      </c>
      <c r="E10" s="40"/>
      <c r="F10" s="63" t="s">
        <v>29</v>
      </c>
      <c r="G10" s="37">
        <v>4.9866666666666672</v>
      </c>
      <c r="H10" s="37">
        <v>14.996666666666666</v>
      </c>
      <c r="I10" s="37">
        <v>29.993333333333332</v>
      </c>
      <c r="J10" s="37">
        <v>46.493333333333332</v>
      </c>
      <c r="K10" s="37">
        <v>64.569999999999993</v>
      </c>
      <c r="L10" s="37">
        <v>84.149999999999991</v>
      </c>
      <c r="M10" s="37">
        <v>103.72999999999999</v>
      </c>
      <c r="N10" s="37">
        <v>123.27333333333331</v>
      </c>
      <c r="O10" s="37">
        <v>142.77999999999997</v>
      </c>
      <c r="P10" s="37">
        <v>162.28666666666666</v>
      </c>
      <c r="Q10" s="37">
        <v>181.64666666666665</v>
      </c>
      <c r="R10" s="37">
        <v>200.89666666666665</v>
      </c>
      <c r="S10" s="37">
        <v>220.03666666666666</v>
      </c>
      <c r="T10" s="37">
        <v>239.02999999999997</v>
      </c>
      <c r="U10" s="37">
        <v>257.91333333333336</v>
      </c>
      <c r="V10" s="37">
        <v>276.64999999999998</v>
      </c>
      <c r="W10" s="37">
        <v>295.23999999999995</v>
      </c>
      <c r="X10" s="37">
        <v>313.6466666666667</v>
      </c>
      <c r="Y10" s="37">
        <v>331.90666666666664</v>
      </c>
      <c r="Z10" s="37">
        <v>349.98333333333335</v>
      </c>
      <c r="AA10" s="37">
        <v>367.95</v>
      </c>
      <c r="AB10" s="37">
        <v>385.77</v>
      </c>
      <c r="AC10" s="37">
        <v>403.44333333333333</v>
      </c>
      <c r="AD10" s="37">
        <v>421.0066666666666</v>
      </c>
      <c r="AE10" s="37">
        <v>438.46</v>
      </c>
      <c r="AF10" s="37">
        <v>455.73</v>
      </c>
      <c r="AG10" s="37">
        <v>472.89</v>
      </c>
      <c r="AH10" s="37">
        <v>489.90333333333336</v>
      </c>
      <c r="AI10" s="37">
        <v>506.80666666666662</v>
      </c>
      <c r="AJ10" s="37">
        <v>523.56333333333328</v>
      </c>
    </row>
    <row r="11" spans="1:36" x14ac:dyDescent="0.3">
      <c r="B11" s="32">
        <v>2022</v>
      </c>
      <c r="C11" s="42">
        <f>C10+30000</f>
        <v>100000</v>
      </c>
      <c r="D11" s="36">
        <f t="shared" si="0"/>
        <v>1301666.6666666665</v>
      </c>
      <c r="E11" s="38"/>
      <c r="F11" s="63" t="s">
        <v>30</v>
      </c>
      <c r="G11" s="37">
        <v>1.8450666666666669</v>
      </c>
      <c r="H11" s="37">
        <v>5.5487666666666664</v>
      </c>
      <c r="I11" s="37">
        <v>11.097533333333333</v>
      </c>
      <c r="J11" s="37">
        <v>17.202533333333331</v>
      </c>
      <c r="K11" s="37">
        <v>23.890899999999998</v>
      </c>
      <c r="L11" s="37">
        <v>31.135499999999997</v>
      </c>
      <c r="M11" s="37">
        <v>38.380099999999999</v>
      </c>
      <c r="N11" s="37">
        <v>45.611133333333328</v>
      </c>
      <c r="O11" s="37">
        <v>52.828599999999987</v>
      </c>
      <c r="P11" s="37">
        <v>60.046066666666661</v>
      </c>
      <c r="Q11" s="37">
        <v>67.209266666666664</v>
      </c>
      <c r="R11" s="37">
        <v>74.331766666666653</v>
      </c>
      <c r="S11" s="37">
        <v>81.413566666666668</v>
      </c>
      <c r="T11" s="37">
        <v>88.441099999999992</v>
      </c>
      <c r="U11" s="37">
        <v>95.427933333333343</v>
      </c>
      <c r="V11" s="37">
        <v>102.36049999999999</v>
      </c>
      <c r="W11" s="37">
        <v>109.23879999999998</v>
      </c>
      <c r="X11" s="37">
        <v>116.04926666666668</v>
      </c>
      <c r="Y11" s="37">
        <v>122.80546666666666</v>
      </c>
      <c r="Z11" s="37">
        <v>129.49383333333333</v>
      </c>
      <c r="AA11" s="37">
        <v>136.14150000000001</v>
      </c>
      <c r="AB11" s="37">
        <v>142.73489999999998</v>
      </c>
      <c r="AC11" s="37">
        <v>149.27403333333334</v>
      </c>
      <c r="AD11" s="37">
        <v>155.77246666666665</v>
      </c>
      <c r="AE11" s="37">
        <v>162.2302</v>
      </c>
      <c r="AF11" s="37">
        <v>168.62010000000001</v>
      </c>
      <c r="AG11" s="37">
        <v>174.9693</v>
      </c>
      <c r="AH11" s="37">
        <v>181.26423333333335</v>
      </c>
      <c r="AI11" s="37">
        <v>187.51846666666665</v>
      </c>
      <c r="AJ11" s="37">
        <v>193.71843333333331</v>
      </c>
    </row>
    <row r="12" spans="1:36" x14ac:dyDescent="0.3">
      <c r="B12" s="32">
        <v>2023</v>
      </c>
      <c r="C12" s="42">
        <f>C11</f>
        <v>100000</v>
      </c>
      <c r="D12" s="36">
        <f t="shared" si="0"/>
        <v>1301666.6666666665</v>
      </c>
      <c r="E12" s="38"/>
      <c r="F12" s="63" t="s">
        <v>32</v>
      </c>
      <c r="G12" s="37">
        <f>G11+G10</f>
        <v>6.8317333333333341</v>
      </c>
      <c r="H12" s="37">
        <f t="shared" ref="H12:AJ12" si="1">H11+H10</f>
        <v>20.545433333333332</v>
      </c>
      <c r="I12" s="37">
        <f t="shared" si="1"/>
        <v>41.090866666666663</v>
      </c>
      <c r="J12" s="37">
        <f t="shared" si="1"/>
        <v>63.69586666666666</v>
      </c>
      <c r="K12" s="37">
        <f t="shared" si="1"/>
        <v>88.460899999999995</v>
      </c>
      <c r="L12" s="37">
        <f t="shared" si="1"/>
        <v>115.28549999999998</v>
      </c>
      <c r="M12" s="37">
        <f t="shared" si="1"/>
        <v>142.11009999999999</v>
      </c>
      <c r="N12" s="37">
        <f t="shared" si="1"/>
        <v>168.88446666666664</v>
      </c>
      <c r="O12" s="37">
        <f t="shared" si="1"/>
        <v>195.60859999999997</v>
      </c>
      <c r="P12" s="37">
        <f t="shared" si="1"/>
        <v>222.33273333333332</v>
      </c>
      <c r="Q12" s="37">
        <f t="shared" si="1"/>
        <v>248.85593333333333</v>
      </c>
      <c r="R12" s="37">
        <f t="shared" si="1"/>
        <v>275.22843333333333</v>
      </c>
      <c r="S12" s="37">
        <f t="shared" si="1"/>
        <v>301.45023333333336</v>
      </c>
      <c r="T12" s="37">
        <f t="shared" si="1"/>
        <v>327.47109999999998</v>
      </c>
      <c r="U12" s="37">
        <f t="shared" si="1"/>
        <v>353.34126666666668</v>
      </c>
      <c r="V12" s="37">
        <f t="shared" si="1"/>
        <v>379.01049999999998</v>
      </c>
      <c r="W12" s="37">
        <f t="shared" si="1"/>
        <v>404.47879999999992</v>
      </c>
      <c r="X12" s="37">
        <f t="shared" si="1"/>
        <v>429.69593333333341</v>
      </c>
      <c r="Y12" s="37">
        <f t="shared" si="1"/>
        <v>454.71213333333333</v>
      </c>
      <c r="Z12" s="37">
        <f t="shared" si="1"/>
        <v>479.47716666666668</v>
      </c>
      <c r="AA12" s="37">
        <f t="shared" si="1"/>
        <v>504.0915</v>
      </c>
      <c r="AB12" s="37">
        <f t="shared" si="1"/>
        <v>528.50489999999991</v>
      </c>
      <c r="AC12" s="37">
        <f t="shared" si="1"/>
        <v>552.71736666666663</v>
      </c>
      <c r="AD12" s="37">
        <f t="shared" si="1"/>
        <v>576.77913333333322</v>
      </c>
      <c r="AE12" s="37">
        <f t="shared" si="1"/>
        <v>600.6902</v>
      </c>
      <c r="AF12" s="37">
        <f t="shared" si="1"/>
        <v>624.3501</v>
      </c>
      <c r="AG12" s="37">
        <f t="shared" si="1"/>
        <v>647.85929999999996</v>
      </c>
      <c r="AH12" s="37">
        <f t="shared" si="1"/>
        <v>671.16756666666674</v>
      </c>
      <c r="AI12" s="37">
        <f t="shared" si="1"/>
        <v>694.32513333333327</v>
      </c>
      <c r="AJ12" s="37">
        <f t="shared" si="1"/>
        <v>717.28176666666661</v>
      </c>
    </row>
    <row r="13" spans="1:36" x14ac:dyDescent="0.3">
      <c r="B13" s="32">
        <v>2024</v>
      </c>
      <c r="C13" s="42">
        <f>C12</f>
        <v>100000</v>
      </c>
      <c r="D13" s="36">
        <f t="shared" si="0"/>
        <v>1301666.6666666665</v>
      </c>
      <c r="E13" s="38"/>
      <c r="F13" s="34"/>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row>
    <row r="14" spans="1:36" x14ac:dyDescent="0.3">
      <c r="B14" s="32">
        <v>2025</v>
      </c>
      <c r="C14" s="42">
        <f t="shared" ref="C14:C28" si="2">C13</f>
        <v>100000</v>
      </c>
      <c r="D14" s="36">
        <f t="shared" si="0"/>
        <v>1301666.6666666665</v>
      </c>
      <c r="E14" s="38"/>
      <c r="F14" s="30"/>
      <c r="G14" s="34">
        <v>2019</v>
      </c>
      <c r="H14" s="34">
        <v>2020</v>
      </c>
      <c r="I14" s="34">
        <v>2021</v>
      </c>
      <c r="J14" s="62">
        <v>2022</v>
      </c>
      <c r="K14" s="62">
        <v>2023</v>
      </c>
      <c r="L14" s="34">
        <v>2024</v>
      </c>
      <c r="M14" s="34">
        <v>2025</v>
      </c>
      <c r="N14" s="34">
        <v>2026</v>
      </c>
      <c r="O14" s="62">
        <v>2027</v>
      </c>
      <c r="P14" s="62">
        <v>2028</v>
      </c>
      <c r="Q14" s="34">
        <v>2029</v>
      </c>
      <c r="R14" s="34">
        <v>2030</v>
      </c>
      <c r="S14" s="34">
        <v>2031</v>
      </c>
      <c r="T14" s="62">
        <v>2032</v>
      </c>
      <c r="U14" s="62">
        <v>2033</v>
      </c>
      <c r="V14" s="34">
        <v>2034</v>
      </c>
      <c r="W14" s="34">
        <v>2035</v>
      </c>
      <c r="X14" s="34">
        <v>2036</v>
      </c>
      <c r="Y14" s="62">
        <v>2037</v>
      </c>
      <c r="Z14" s="62">
        <v>2038</v>
      </c>
      <c r="AA14" s="34">
        <v>2039</v>
      </c>
      <c r="AB14" s="30"/>
      <c r="AC14" s="30"/>
      <c r="AD14" s="30"/>
      <c r="AE14" s="30"/>
      <c r="AF14" s="30"/>
      <c r="AG14" s="30"/>
      <c r="AH14" s="30"/>
      <c r="AI14" s="30"/>
      <c r="AJ14" s="30"/>
    </row>
    <row r="15" spans="1:36" x14ac:dyDescent="0.3">
      <c r="B15" s="32">
        <v>2026</v>
      </c>
      <c r="C15" s="42">
        <f t="shared" si="2"/>
        <v>100000</v>
      </c>
      <c r="D15" s="36">
        <f t="shared" si="0"/>
        <v>1301666.6666666665</v>
      </c>
      <c r="E15" s="38"/>
      <c r="F15" s="34" t="s">
        <v>33</v>
      </c>
      <c r="G15">
        <f>16000*70%</f>
        <v>11200</v>
      </c>
      <c r="H15" s="30">
        <f>24000*70%</f>
        <v>16800</v>
      </c>
      <c r="I15" s="30">
        <f>30000*70%</f>
        <v>21000</v>
      </c>
      <c r="J15" s="30">
        <f>30000*70%</f>
        <v>21000</v>
      </c>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row>
    <row r="16" spans="1:36" x14ac:dyDescent="0.3">
      <c r="B16" s="32">
        <v>2027</v>
      </c>
      <c r="C16" s="42">
        <f t="shared" si="2"/>
        <v>100000</v>
      </c>
      <c r="D16" s="36">
        <f t="shared" si="0"/>
        <v>1301666.6666666665</v>
      </c>
      <c r="E16" s="38"/>
      <c r="F16" s="34" t="s">
        <v>34</v>
      </c>
      <c r="G16" s="13">
        <f>(G15*50)/1450</f>
        <v>386.20689655172413</v>
      </c>
      <c r="H16" s="13">
        <f t="shared" ref="H16:J16" si="3">(H15*50)/1450</f>
        <v>579.31034482758616</v>
      </c>
      <c r="I16" s="13">
        <f t="shared" si="3"/>
        <v>724.13793103448279</v>
      </c>
      <c r="J16" s="13">
        <f t="shared" si="3"/>
        <v>724.13793103448279</v>
      </c>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row>
    <row r="17" spans="2:36" x14ac:dyDescent="0.3">
      <c r="B17" s="32">
        <v>2028</v>
      </c>
      <c r="C17" s="42">
        <f t="shared" si="2"/>
        <v>100000</v>
      </c>
      <c r="D17" s="36">
        <f t="shared" si="0"/>
        <v>1301666.6666666665</v>
      </c>
      <c r="E17" s="38"/>
      <c r="F17" s="30"/>
      <c r="G17" s="34">
        <v>2019</v>
      </c>
      <c r="H17" s="34">
        <v>2020</v>
      </c>
      <c r="I17" s="5">
        <v>2021</v>
      </c>
      <c r="J17" s="5">
        <v>2022</v>
      </c>
      <c r="K17" s="5">
        <v>2023</v>
      </c>
      <c r="L17" s="5">
        <v>2024</v>
      </c>
      <c r="M17" s="34">
        <v>2025</v>
      </c>
      <c r="N17" s="34">
        <v>2026</v>
      </c>
      <c r="O17" s="5">
        <v>2027</v>
      </c>
      <c r="P17" s="5">
        <v>2028</v>
      </c>
      <c r="Q17" s="5">
        <v>2029</v>
      </c>
      <c r="R17" s="5">
        <v>2030</v>
      </c>
      <c r="S17" s="34">
        <v>2031</v>
      </c>
      <c r="T17" s="34">
        <v>2032</v>
      </c>
      <c r="U17" s="5">
        <v>2033</v>
      </c>
      <c r="V17" s="5">
        <v>2034</v>
      </c>
      <c r="W17" s="5">
        <v>2035</v>
      </c>
      <c r="X17" s="5">
        <v>2036</v>
      </c>
      <c r="Y17" s="34">
        <v>2037</v>
      </c>
      <c r="Z17" s="34">
        <v>2038</v>
      </c>
      <c r="AA17" s="5">
        <v>2039</v>
      </c>
      <c r="AB17" s="30"/>
      <c r="AC17" s="30"/>
      <c r="AD17" s="30"/>
      <c r="AE17" s="30"/>
      <c r="AF17" s="30"/>
      <c r="AG17" s="30"/>
      <c r="AH17" s="30"/>
      <c r="AI17" s="30"/>
      <c r="AJ17" s="30"/>
    </row>
    <row r="18" spans="2:36" x14ac:dyDescent="0.3">
      <c r="B18" s="32">
        <v>2029</v>
      </c>
      <c r="C18" s="42">
        <f t="shared" si="2"/>
        <v>100000</v>
      </c>
      <c r="D18" s="36">
        <f t="shared" si="0"/>
        <v>1301666.6666666665</v>
      </c>
      <c r="E18" s="38"/>
      <c r="F18" s="34" t="s">
        <v>35</v>
      </c>
      <c r="G18" s="37">
        <f>$G$16*G12</f>
        <v>2638.4625287356325</v>
      </c>
      <c r="H18" s="37">
        <f t="shared" ref="H18:AA18" si="4">$G$16*H12</f>
        <v>7934.7880459770104</v>
      </c>
      <c r="I18" s="37">
        <f t="shared" si="4"/>
        <v>15869.576091954021</v>
      </c>
      <c r="J18" s="37">
        <f t="shared" si="4"/>
        <v>24599.782988505744</v>
      </c>
      <c r="K18" s="37">
        <f t="shared" si="4"/>
        <v>34164.20965517241</v>
      </c>
      <c r="L18" s="37">
        <f t="shared" si="4"/>
        <v>44524.055172413784</v>
      </c>
      <c r="M18" s="37">
        <f t="shared" si="4"/>
        <v>54883.900689655165</v>
      </c>
      <c r="N18" s="37">
        <f t="shared" si="4"/>
        <v>65224.345747126426</v>
      </c>
      <c r="O18" s="37">
        <f t="shared" si="4"/>
        <v>75545.390344827567</v>
      </c>
      <c r="P18" s="37">
        <f t="shared" si="4"/>
        <v>85866.434942528736</v>
      </c>
      <c r="Q18" s="37">
        <f t="shared" si="4"/>
        <v>96109.877701149424</v>
      </c>
      <c r="R18" s="37">
        <f t="shared" si="4"/>
        <v>106295.11908045977</v>
      </c>
      <c r="S18" s="37">
        <f t="shared" si="4"/>
        <v>116422.15908045978</v>
      </c>
      <c r="T18" s="37">
        <f t="shared" si="4"/>
        <v>126471.59724137931</v>
      </c>
      <c r="U18" s="37">
        <f t="shared" si="4"/>
        <v>136462.83402298851</v>
      </c>
      <c r="V18" s="37">
        <f t="shared" si="4"/>
        <v>146376.46896551724</v>
      </c>
      <c r="W18" s="37">
        <f t="shared" si="4"/>
        <v>156212.50206896549</v>
      </c>
      <c r="X18" s="37">
        <f t="shared" si="4"/>
        <v>165951.53287356324</v>
      </c>
      <c r="Y18" s="37">
        <f t="shared" si="4"/>
        <v>175612.96183908044</v>
      </c>
      <c r="Z18" s="37">
        <f t="shared" si="4"/>
        <v>185177.38850574713</v>
      </c>
      <c r="AA18" s="37">
        <f t="shared" si="4"/>
        <v>194683.61379310343</v>
      </c>
      <c r="AB18" s="30"/>
      <c r="AC18" s="30"/>
      <c r="AD18" s="30"/>
      <c r="AE18" s="30"/>
      <c r="AF18" s="30"/>
      <c r="AG18" s="30"/>
      <c r="AH18" s="30"/>
      <c r="AI18" s="30"/>
      <c r="AJ18" s="30"/>
    </row>
    <row r="19" spans="2:36" x14ac:dyDescent="0.3">
      <c r="B19" s="32">
        <v>2030</v>
      </c>
      <c r="C19" s="42">
        <f t="shared" si="2"/>
        <v>100000</v>
      </c>
      <c r="D19" s="36">
        <f t="shared" si="0"/>
        <v>1301666.6666666665</v>
      </c>
      <c r="E19" s="38"/>
      <c r="F19" s="34" t="s">
        <v>36</v>
      </c>
      <c r="G19" s="37"/>
      <c r="H19" s="37">
        <f>$H$16*G12</f>
        <v>3957.6937931034486</v>
      </c>
      <c r="I19" s="37">
        <f t="shared" ref="I19:AA19" si="5">$H$16*H12</f>
        <v>11902.182068965516</v>
      </c>
      <c r="J19" s="37">
        <f t="shared" si="5"/>
        <v>23804.364137931032</v>
      </c>
      <c r="K19" s="37">
        <f t="shared" si="5"/>
        <v>36899.674482758615</v>
      </c>
      <c r="L19" s="37">
        <f t="shared" si="5"/>
        <v>51246.314482758615</v>
      </c>
      <c r="M19" s="37">
        <f t="shared" si="5"/>
        <v>66786.082758620672</v>
      </c>
      <c r="N19" s="37">
        <f t="shared" si="5"/>
        <v>82325.851034482752</v>
      </c>
      <c r="O19" s="37">
        <f t="shared" si="5"/>
        <v>97836.518620689632</v>
      </c>
      <c r="P19" s="37">
        <f t="shared" si="5"/>
        <v>113318.08551724136</v>
      </c>
      <c r="Q19" s="37">
        <f t="shared" si="5"/>
        <v>128799.65241379308</v>
      </c>
      <c r="R19" s="37">
        <f t="shared" si="5"/>
        <v>144164.81655172413</v>
      </c>
      <c r="S19" s="37">
        <f t="shared" si="5"/>
        <v>159442.67862068964</v>
      </c>
      <c r="T19" s="37">
        <f t="shared" si="5"/>
        <v>174633.23862068966</v>
      </c>
      <c r="U19" s="37">
        <f t="shared" si="5"/>
        <v>189707.39586206895</v>
      </c>
      <c r="V19" s="37">
        <f t="shared" si="5"/>
        <v>204694.25103448276</v>
      </c>
      <c r="W19" s="37">
        <f t="shared" si="5"/>
        <v>219564.70344827583</v>
      </c>
      <c r="X19" s="37">
        <f t="shared" si="5"/>
        <v>234318.75310344822</v>
      </c>
      <c r="Y19" s="37">
        <f t="shared" si="5"/>
        <v>248927.29931034485</v>
      </c>
      <c r="Z19" s="37">
        <f t="shared" si="5"/>
        <v>263419.44275862066</v>
      </c>
      <c r="AA19" s="37">
        <f t="shared" si="5"/>
        <v>277766.08275862067</v>
      </c>
      <c r="AB19" s="30"/>
      <c r="AC19" s="30"/>
      <c r="AD19" s="30"/>
      <c r="AE19" s="30"/>
      <c r="AF19" s="30"/>
      <c r="AG19" s="30"/>
      <c r="AH19" s="30"/>
      <c r="AI19" s="30"/>
      <c r="AJ19" s="30"/>
    </row>
    <row r="20" spans="2:36" x14ac:dyDescent="0.3">
      <c r="B20" s="32">
        <v>2031</v>
      </c>
      <c r="C20" s="42">
        <f t="shared" si="2"/>
        <v>100000</v>
      </c>
      <c r="D20" s="36">
        <f t="shared" si="0"/>
        <v>1301666.6666666665</v>
      </c>
      <c r="E20" s="38"/>
      <c r="F20" s="34" t="s">
        <v>37</v>
      </c>
      <c r="G20" s="37"/>
      <c r="H20" s="37"/>
      <c r="I20" s="37">
        <f>$I$16*G12</f>
        <v>4947.1172413793111</v>
      </c>
      <c r="J20" s="37">
        <f t="shared" ref="J20:AA20" si="6">$I$16*H12</f>
        <v>14877.727586206896</v>
      </c>
      <c r="K20" s="37">
        <f t="shared" si="6"/>
        <v>29755.455172413793</v>
      </c>
      <c r="L20" s="37">
        <f t="shared" si="6"/>
        <v>46124.593103448271</v>
      </c>
      <c r="M20" s="37">
        <f t="shared" si="6"/>
        <v>64057.893103448274</v>
      </c>
      <c r="N20" s="37">
        <f t="shared" si="6"/>
        <v>83482.603448275855</v>
      </c>
      <c r="O20" s="37">
        <f t="shared" si="6"/>
        <v>102907.31379310344</v>
      </c>
      <c r="P20" s="37">
        <f t="shared" si="6"/>
        <v>122295.64827586206</v>
      </c>
      <c r="Q20" s="37">
        <f t="shared" si="6"/>
        <v>141647.6068965517</v>
      </c>
      <c r="R20" s="37">
        <f t="shared" si="6"/>
        <v>160999.56551724137</v>
      </c>
      <c r="S20" s="37">
        <f t="shared" si="6"/>
        <v>180206.02068965518</v>
      </c>
      <c r="T20" s="37">
        <f t="shared" si="6"/>
        <v>199303.34827586208</v>
      </c>
      <c r="U20" s="37">
        <f t="shared" si="6"/>
        <v>218291.54827586209</v>
      </c>
      <c r="V20" s="37">
        <f t="shared" si="6"/>
        <v>237134.2448275862</v>
      </c>
      <c r="W20" s="37">
        <f t="shared" si="6"/>
        <v>255867.81379310347</v>
      </c>
      <c r="X20" s="37">
        <f t="shared" si="6"/>
        <v>274455.87931034481</v>
      </c>
      <c r="Y20" s="37">
        <f t="shared" si="6"/>
        <v>292898.44137931027</v>
      </c>
      <c r="Z20" s="37">
        <f t="shared" si="6"/>
        <v>311159.1241379311</v>
      </c>
      <c r="AA20" s="37">
        <f t="shared" si="6"/>
        <v>329274.3034482759</v>
      </c>
      <c r="AB20" s="30"/>
      <c r="AC20" s="30"/>
      <c r="AD20" s="30"/>
      <c r="AE20" s="30"/>
      <c r="AF20" s="30"/>
      <c r="AG20" s="30"/>
      <c r="AH20" s="30"/>
      <c r="AI20" s="30"/>
      <c r="AJ20" s="30"/>
    </row>
    <row r="21" spans="2:36" x14ac:dyDescent="0.3">
      <c r="B21" s="32">
        <v>2032</v>
      </c>
      <c r="C21" s="42">
        <f t="shared" si="2"/>
        <v>100000</v>
      </c>
      <c r="D21" s="36">
        <f t="shared" si="0"/>
        <v>1301666.6666666665</v>
      </c>
      <c r="E21" s="38"/>
      <c r="F21" s="34" t="s">
        <v>38</v>
      </c>
      <c r="G21" s="37"/>
      <c r="H21" s="37"/>
      <c r="I21" s="37"/>
      <c r="J21" s="37">
        <f>$J$16*G12</f>
        <v>4947.1172413793111</v>
      </c>
      <c r="K21" s="37">
        <f t="shared" ref="K21:AA21" si="7">$J$16*H12</f>
        <v>14877.727586206896</v>
      </c>
      <c r="L21" s="37">
        <f t="shared" si="7"/>
        <v>29755.455172413793</v>
      </c>
      <c r="M21" s="37">
        <f t="shared" si="7"/>
        <v>46124.593103448271</v>
      </c>
      <c r="N21" s="37">
        <f t="shared" si="7"/>
        <v>64057.893103448274</v>
      </c>
      <c r="O21" s="37">
        <f t="shared" si="7"/>
        <v>83482.603448275855</v>
      </c>
      <c r="P21" s="37">
        <f t="shared" si="7"/>
        <v>102907.31379310344</v>
      </c>
      <c r="Q21" s="37">
        <f t="shared" si="7"/>
        <v>122295.64827586206</v>
      </c>
      <c r="R21" s="37">
        <f t="shared" si="7"/>
        <v>141647.6068965517</v>
      </c>
      <c r="S21" s="37">
        <f t="shared" si="7"/>
        <v>160999.56551724137</v>
      </c>
      <c r="T21" s="37">
        <f t="shared" si="7"/>
        <v>180206.02068965518</v>
      </c>
      <c r="U21" s="37">
        <f t="shared" si="7"/>
        <v>199303.34827586208</v>
      </c>
      <c r="V21" s="37">
        <f t="shared" si="7"/>
        <v>218291.54827586209</v>
      </c>
      <c r="W21" s="37">
        <f t="shared" si="7"/>
        <v>237134.2448275862</v>
      </c>
      <c r="X21" s="37">
        <f t="shared" si="7"/>
        <v>255867.81379310347</v>
      </c>
      <c r="Y21" s="37">
        <f t="shared" si="7"/>
        <v>274455.87931034481</v>
      </c>
      <c r="Z21" s="37">
        <f t="shared" si="7"/>
        <v>292898.44137931027</v>
      </c>
      <c r="AA21" s="37">
        <f t="shared" si="7"/>
        <v>311159.1241379311</v>
      </c>
      <c r="AB21" s="30"/>
      <c r="AC21" s="30"/>
      <c r="AD21" s="30"/>
      <c r="AE21" s="30"/>
      <c r="AF21" s="30"/>
      <c r="AG21" s="30"/>
      <c r="AH21" s="30"/>
      <c r="AI21" s="30"/>
      <c r="AJ21" s="30"/>
    </row>
    <row r="22" spans="2:36" x14ac:dyDescent="0.3">
      <c r="B22" s="32">
        <v>2033</v>
      </c>
      <c r="C22" s="42">
        <f t="shared" si="2"/>
        <v>100000</v>
      </c>
      <c r="D22" s="36">
        <f t="shared" si="0"/>
        <v>1301666.6666666665</v>
      </c>
      <c r="E22" s="38"/>
      <c r="F22" s="34" t="s">
        <v>39</v>
      </c>
      <c r="G22" s="37">
        <f>SUM(G18:G21)</f>
        <v>2638.4625287356325</v>
      </c>
      <c r="H22" s="37">
        <f t="shared" ref="H22:AA22" si="8">SUM(H18:H21)</f>
        <v>11892.481839080459</v>
      </c>
      <c r="I22" s="37">
        <f t="shared" si="8"/>
        <v>32718.875402298847</v>
      </c>
      <c r="J22" s="37">
        <f t="shared" si="8"/>
        <v>68228.991954022975</v>
      </c>
      <c r="K22" s="37">
        <f t="shared" si="8"/>
        <v>115697.0668965517</v>
      </c>
      <c r="L22" s="37">
        <f t="shared" si="8"/>
        <v>171650.41793103446</v>
      </c>
      <c r="M22" s="37">
        <f t="shared" si="8"/>
        <v>231852.46965517238</v>
      </c>
      <c r="N22" s="37">
        <f t="shared" si="8"/>
        <v>295090.6933333333</v>
      </c>
      <c r="O22" s="37">
        <f t="shared" si="8"/>
        <v>359771.82620689645</v>
      </c>
      <c r="P22" s="37">
        <f t="shared" si="8"/>
        <v>424387.48252873559</v>
      </c>
      <c r="Q22" s="37">
        <f t="shared" si="8"/>
        <v>488852.7852873563</v>
      </c>
      <c r="R22" s="37">
        <f t="shared" si="8"/>
        <v>553107.10804597696</v>
      </c>
      <c r="S22" s="37">
        <f t="shared" si="8"/>
        <v>617070.42390804598</v>
      </c>
      <c r="T22" s="37">
        <f t="shared" si="8"/>
        <v>680614.20482758631</v>
      </c>
      <c r="U22" s="37">
        <f t="shared" si="8"/>
        <v>743765.1264367816</v>
      </c>
      <c r="V22" s="37">
        <f t="shared" si="8"/>
        <v>806496.51310344832</v>
      </c>
      <c r="W22" s="37">
        <f t="shared" si="8"/>
        <v>868779.26413793105</v>
      </c>
      <c r="X22" s="37">
        <f t="shared" si="8"/>
        <v>930593.97908045969</v>
      </c>
      <c r="Y22" s="37">
        <f t="shared" si="8"/>
        <v>991894.58183908043</v>
      </c>
      <c r="Z22" s="37">
        <f t="shared" si="8"/>
        <v>1052654.3967816092</v>
      </c>
      <c r="AA22" s="37">
        <f t="shared" si="8"/>
        <v>1112883.124137931</v>
      </c>
      <c r="AB22" s="30"/>
      <c r="AC22" s="30"/>
      <c r="AD22" s="30"/>
      <c r="AE22" s="30"/>
      <c r="AF22" s="30"/>
      <c r="AG22" s="30"/>
      <c r="AH22" s="30"/>
      <c r="AI22" s="30"/>
      <c r="AJ22" s="30"/>
    </row>
    <row r="23" spans="2:36" x14ac:dyDescent="0.3">
      <c r="B23" s="32">
        <v>2034</v>
      </c>
      <c r="C23" s="42">
        <f t="shared" si="2"/>
        <v>100000</v>
      </c>
      <c r="D23" s="36">
        <f t="shared" si="0"/>
        <v>1301666.6666666665</v>
      </c>
      <c r="E23" s="41"/>
      <c r="F23" s="34"/>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row>
    <row r="24" spans="2:36" x14ac:dyDescent="0.3">
      <c r="B24" s="32">
        <v>2035</v>
      </c>
      <c r="C24" s="42">
        <f t="shared" si="2"/>
        <v>100000</v>
      </c>
      <c r="D24" s="36">
        <f t="shared" si="0"/>
        <v>1301666.6666666665</v>
      </c>
      <c r="E24" s="39"/>
      <c r="F24" s="34"/>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row>
    <row r="25" spans="2:36" x14ac:dyDescent="0.3">
      <c r="B25" s="32">
        <v>2036</v>
      </c>
      <c r="C25" s="42">
        <f t="shared" si="2"/>
        <v>100000</v>
      </c>
      <c r="D25" s="36">
        <f t="shared" si="0"/>
        <v>1301666.6666666665</v>
      </c>
      <c r="E25" s="3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row>
    <row r="26" spans="2:36" x14ac:dyDescent="0.3">
      <c r="B26" s="32">
        <v>2037</v>
      </c>
      <c r="C26" s="42">
        <f t="shared" si="2"/>
        <v>100000</v>
      </c>
      <c r="D26" s="36">
        <f t="shared" si="0"/>
        <v>1301666.6666666665</v>
      </c>
      <c r="E26" s="39"/>
      <c r="F26" s="115" t="s">
        <v>41</v>
      </c>
      <c r="G26" s="115"/>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row>
    <row r="27" spans="2:36" x14ac:dyDescent="0.3">
      <c r="B27" s="32">
        <v>2038</v>
      </c>
      <c r="C27" s="42">
        <f t="shared" si="2"/>
        <v>100000</v>
      </c>
      <c r="D27" s="36">
        <f t="shared" si="0"/>
        <v>1301666.6666666665</v>
      </c>
      <c r="E27" s="39"/>
      <c r="F27" s="63" t="s">
        <v>26</v>
      </c>
      <c r="G27" s="60">
        <v>1</v>
      </c>
      <c r="H27" s="60">
        <v>2</v>
      </c>
      <c r="I27" s="60">
        <v>3</v>
      </c>
      <c r="J27" s="60">
        <v>4</v>
      </c>
      <c r="K27" s="60">
        <v>5</v>
      </c>
      <c r="L27" s="60">
        <v>6</v>
      </c>
      <c r="M27" s="60">
        <v>7</v>
      </c>
      <c r="N27" s="60">
        <v>8</v>
      </c>
      <c r="O27" s="60">
        <v>9</v>
      </c>
      <c r="P27" s="60">
        <v>10</v>
      </c>
      <c r="Q27" s="60">
        <v>11</v>
      </c>
      <c r="R27" s="60">
        <v>12</v>
      </c>
      <c r="S27" s="60">
        <v>13</v>
      </c>
      <c r="T27" s="60">
        <v>14</v>
      </c>
      <c r="U27" s="60">
        <v>15</v>
      </c>
      <c r="V27" s="60">
        <v>16</v>
      </c>
      <c r="W27" s="60">
        <v>17</v>
      </c>
      <c r="X27" s="60">
        <v>18</v>
      </c>
      <c r="Y27" s="60">
        <v>19</v>
      </c>
      <c r="Z27" s="60">
        <v>20</v>
      </c>
      <c r="AA27" s="60">
        <v>21</v>
      </c>
      <c r="AB27" s="60">
        <v>22</v>
      </c>
      <c r="AC27" s="60">
        <v>23</v>
      </c>
      <c r="AD27" s="60">
        <v>24</v>
      </c>
      <c r="AE27" s="60">
        <v>25</v>
      </c>
      <c r="AF27" s="60">
        <v>26</v>
      </c>
      <c r="AG27" s="60">
        <v>27</v>
      </c>
      <c r="AH27" s="60">
        <v>28</v>
      </c>
      <c r="AI27" s="60">
        <v>29</v>
      </c>
      <c r="AJ27" s="60">
        <v>30</v>
      </c>
    </row>
    <row r="28" spans="2:36" x14ac:dyDescent="0.3">
      <c r="B28" s="32">
        <v>2039</v>
      </c>
      <c r="C28" s="42">
        <f t="shared" si="2"/>
        <v>100000</v>
      </c>
      <c r="D28" s="36">
        <f t="shared" si="0"/>
        <v>1301666.6666666665</v>
      </c>
      <c r="E28" s="39"/>
      <c r="F28" s="63" t="s">
        <v>28</v>
      </c>
      <c r="G28" s="37">
        <v>0.94</v>
      </c>
      <c r="H28" s="37">
        <v>2.82</v>
      </c>
      <c r="I28" s="37">
        <v>5.64</v>
      </c>
      <c r="J28" s="37">
        <v>9.4</v>
      </c>
      <c r="K28" s="37">
        <v>13.32</v>
      </c>
      <c r="L28" s="37">
        <v>17.399999999999999</v>
      </c>
      <c r="M28" s="37">
        <v>21.63</v>
      </c>
      <c r="N28" s="37">
        <v>26.02</v>
      </c>
      <c r="O28" s="37">
        <v>30.39</v>
      </c>
      <c r="P28" s="37">
        <v>34.76</v>
      </c>
      <c r="Q28" s="37">
        <v>39.1</v>
      </c>
      <c r="R28" s="37">
        <v>43.44</v>
      </c>
      <c r="S28" s="37">
        <v>47.75</v>
      </c>
      <c r="T28" s="37">
        <v>52.03</v>
      </c>
      <c r="U28" s="37">
        <v>56.28</v>
      </c>
      <c r="V28" s="37">
        <v>60.5</v>
      </c>
      <c r="W28" s="37">
        <v>64.7</v>
      </c>
      <c r="X28" s="37">
        <v>68.87</v>
      </c>
      <c r="Y28" s="37">
        <v>73.02</v>
      </c>
      <c r="Z28" s="37">
        <v>77.13</v>
      </c>
      <c r="AA28" s="37">
        <v>81.22</v>
      </c>
      <c r="AB28" s="37">
        <v>85.28</v>
      </c>
      <c r="AC28" s="37">
        <v>89.32</v>
      </c>
      <c r="AD28" s="37">
        <v>93.32</v>
      </c>
      <c r="AE28" s="37">
        <v>97.3</v>
      </c>
      <c r="AF28" s="37">
        <v>101.26</v>
      </c>
      <c r="AG28" s="37">
        <v>105.18</v>
      </c>
      <c r="AH28" s="37">
        <v>109.09</v>
      </c>
      <c r="AI28" s="37">
        <v>112.96</v>
      </c>
      <c r="AJ28" s="37">
        <v>116.81</v>
      </c>
    </row>
    <row r="29" spans="2:36" x14ac:dyDescent="0.3">
      <c r="B29" s="44" t="s">
        <v>13</v>
      </c>
      <c r="C29" s="33">
        <f>C28</f>
        <v>100000</v>
      </c>
      <c r="D29" s="45">
        <f>SUM(D9:D28)</f>
        <v>24861833.333333336</v>
      </c>
      <c r="E29" s="39"/>
      <c r="F29" s="63" t="s">
        <v>29</v>
      </c>
      <c r="G29" s="37">
        <v>3.4466666666666663</v>
      </c>
      <c r="H29" s="37">
        <v>10.34</v>
      </c>
      <c r="I29" s="37">
        <v>20.68</v>
      </c>
      <c r="J29" s="37">
        <v>34.466666666666669</v>
      </c>
      <c r="K29" s="37">
        <v>48.839999999999996</v>
      </c>
      <c r="L29" s="37">
        <v>63.79999999999999</v>
      </c>
      <c r="M29" s="37">
        <v>79.309999999999988</v>
      </c>
      <c r="N29" s="37">
        <v>95.406666666666666</v>
      </c>
      <c r="O29" s="37">
        <v>111.42999999999999</v>
      </c>
      <c r="P29" s="37">
        <v>127.45333333333332</v>
      </c>
      <c r="Q29" s="37">
        <v>143.36666666666667</v>
      </c>
      <c r="R29" s="37">
        <v>159.27999999999997</v>
      </c>
      <c r="S29" s="37">
        <v>175.08333333333331</v>
      </c>
      <c r="T29" s="37">
        <v>190.77666666666667</v>
      </c>
      <c r="U29" s="37">
        <v>206.35999999999999</v>
      </c>
      <c r="V29" s="37">
        <v>221.83333333333331</v>
      </c>
      <c r="W29" s="37">
        <v>237.23333333333332</v>
      </c>
      <c r="X29" s="37">
        <v>252.52333333333334</v>
      </c>
      <c r="Y29" s="37">
        <v>267.73999999999995</v>
      </c>
      <c r="Z29" s="37">
        <v>282.80999999999995</v>
      </c>
      <c r="AA29" s="37">
        <v>297.80666666666667</v>
      </c>
      <c r="AB29" s="37">
        <v>312.69333333333333</v>
      </c>
      <c r="AC29" s="37">
        <v>327.5066666666666</v>
      </c>
      <c r="AD29" s="37">
        <v>342.17333333333329</v>
      </c>
      <c r="AE29" s="37">
        <v>356.76666666666665</v>
      </c>
      <c r="AF29" s="37">
        <v>371.28666666666669</v>
      </c>
      <c r="AG29" s="37">
        <v>385.66</v>
      </c>
      <c r="AH29" s="37">
        <v>399.99666666666667</v>
      </c>
      <c r="AI29" s="37">
        <v>414.18666666666661</v>
      </c>
      <c r="AJ29" s="37">
        <v>428.30333333333334</v>
      </c>
    </row>
    <row r="30" spans="2:36" x14ac:dyDescent="0.3">
      <c r="F30" s="63" t="s">
        <v>30</v>
      </c>
      <c r="G30" s="37">
        <v>0.68933333333333335</v>
      </c>
      <c r="H30" s="37">
        <v>2.0680000000000001</v>
      </c>
      <c r="I30" s="37">
        <v>4.1360000000000001</v>
      </c>
      <c r="J30" s="37">
        <v>6.8933333333333344</v>
      </c>
      <c r="K30" s="37">
        <v>9.7680000000000007</v>
      </c>
      <c r="L30" s="37">
        <v>12.759999999999998</v>
      </c>
      <c r="M30" s="37">
        <v>15.861999999999998</v>
      </c>
      <c r="N30" s="37">
        <v>19.081333333333333</v>
      </c>
      <c r="O30" s="37">
        <v>22.286000000000001</v>
      </c>
      <c r="P30" s="37">
        <v>25.490666666666666</v>
      </c>
      <c r="Q30" s="37">
        <v>28.673333333333336</v>
      </c>
      <c r="R30" s="37">
        <v>31.855999999999995</v>
      </c>
      <c r="S30" s="37">
        <v>35.016666666666666</v>
      </c>
      <c r="T30" s="37">
        <v>38.155333333333338</v>
      </c>
      <c r="U30" s="37">
        <v>41.271999999999998</v>
      </c>
      <c r="V30" s="37">
        <v>44.366666666666667</v>
      </c>
      <c r="W30" s="37">
        <v>47.446666666666665</v>
      </c>
      <c r="X30" s="37">
        <v>50.504666666666672</v>
      </c>
      <c r="Y30" s="37">
        <v>53.547999999999995</v>
      </c>
      <c r="Z30" s="37">
        <v>56.561999999999991</v>
      </c>
      <c r="AA30" s="37">
        <v>59.561333333333337</v>
      </c>
      <c r="AB30" s="37">
        <v>62.538666666666671</v>
      </c>
      <c r="AC30" s="37">
        <v>65.501333333333321</v>
      </c>
      <c r="AD30" s="37">
        <v>68.434666666666658</v>
      </c>
      <c r="AE30" s="37">
        <v>71.353333333333339</v>
      </c>
      <c r="AF30" s="37">
        <v>74.257333333333335</v>
      </c>
      <c r="AG30" s="37">
        <v>77.132000000000005</v>
      </c>
      <c r="AH30" s="37">
        <v>79.99933333333334</v>
      </c>
      <c r="AI30" s="37">
        <v>82.837333333333333</v>
      </c>
      <c r="AJ30" s="37">
        <v>85.660666666666671</v>
      </c>
    </row>
    <row r="31" spans="2:36" x14ac:dyDescent="0.3">
      <c r="F31" s="63" t="s">
        <v>32</v>
      </c>
      <c r="G31" s="37">
        <f>G29+G30</f>
        <v>4.1359999999999992</v>
      </c>
      <c r="H31" s="37">
        <f t="shared" ref="H31:AJ31" si="9">H29+H30</f>
        <v>12.407999999999999</v>
      </c>
      <c r="I31" s="37">
        <f t="shared" si="9"/>
        <v>24.815999999999999</v>
      </c>
      <c r="J31" s="37">
        <f t="shared" si="9"/>
        <v>41.36</v>
      </c>
      <c r="K31" s="37">
        <f t="shared" si="9"/>
        <v>58.607999999999997</v>
      </c>
      <c r="L31" s="37">
        <f t="shared" si="9"/>
        <v>76.559999999999988</v>
      </c>
      <c r="M31" s="37">
        <f t="shared" si="9"/>
        <v>95.171999999999983</v>
      </c>
      <c r="N31" s="37">
        <f t="shared" si="9"/>
        <v>114.488</v>
      </c>
      <c r="O31" s="37">
        <f t="shared" si="9"/>
        <v>133.71600000000001</v>
      </c>
      <c r="P31" s="37">
        <f t="shared" si="9"/>
        <v>152.94399999999999</v>
      </c>
      <c r="Q31" s="37">
        <f t="shared" si="9"/>
        <v>172.04000000000002</v>
      </c>
      <c r="R31" s="37">
        <f t="shared" si="9"/>
        <v>191.13599999999997</v>
      </c>
      <c r="S31" s="37">
        <f t="shared" si="9"/>
        <v>210.09999999999997</v>
      </c>
      <c r="T31" s="37">
        <f t="shared" si="9"/>
        <v>228.93200000000002</v>
      </c>
      <c r="U31" s="37">
        <f t="shared" si="9"/>
        <v>247.63199999999998</v>
      </c>
      <c r="V31" s="37">
        <f t="shared" si="9"/>
        <v>266.2</v>
      </c>
      <c r="W31" s="37">
        <f t="shared" si="9"/>
        <v>284.68</v>
      </c>
      <c r="X31" s="37">
        <f t="shared" si="9"/>
        <v>303.02800000000002</v>
      </c>
      <c r="Y31" s="37">
        <f t="shared" si="9"/>
        <v>321.28799999999995</v>
      </c>
      <c r="Z31" s="37">
        <f t="shared" si="9"/>
        <v>339.37199999999996</v>
      </c>
      <c r="AA31" s="37">
        <f t="shared" si="9"/>
        <v>357.36799999999999</v>
      </c>
      <c r="AB31" s="37">
        <f>AB29+AB30</f>
        <v>375.23199999999997</v>
      </c>
      <c r="AC31" s="37">
        <f t="shared" si="9"/>
        <v>393.00799999999992</v>
      </c>
      <c r="AD31" s="37">
        <f t="shared" si="9"/>
        <v>410.60799999999995</v>
      </c>
      <c r="AE31" s="37">
        <f t="shared" si="9"/>
        <v>428.12</v>
      </c>
      <c r="AF31" s="37">
        <f t="shared" si="9"/>
        <v>445.54400000000004</v>
      </c>
      <c r="AG31" s="37">
        <f t="shared" si="9"/>
        <v>462.79200000000003</v>
      </c>
      <c r="AH31" s="37">
        <f t="shared" si="9"/>
        <v>479.99599999999998</v>
      </c>
      <c r="AI31" s="37">
        <f t="shared" si="9"/>
        <v>497.02399999999994</v>
      </c>
      <c r="AJ31" s="37">
        <f t="shared" si="9"/>
        <v>513.96400000000006</v>
      </c>
    </row>
    <row r="32" spans="2:36" x14ac:dyDescent="0.3">
      <c r="B32" s="114" t="s">
        <v>44</v>
      </c>
      <c r="C32" s="114"/>
      <c r="D32" s="66"/>
      <c r="F32" s="34"/>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3" spans="2:36" ht="28.8" x14ac:dyDescent="0.3">
      <c r="B33" s="57" t="s">
        <v>23</v>
      </c>
      <c r="C33" s="58" t="s">
        <v>31</v>
      </c>
      <c r="D33" s="64"/>
      <c r="F33" s="30"/>
      <c r="G33" s="34">
        <v>2019</v>
      </c>
      <c r="H33" s="34">
        <v>2020</v>
      </c>
      <c r="I33" s="34">
        <v>2021</v>
      </c>
      <c r="J33" s="62">
        <v>2022</v>
      </c>
      <c r="K33" s="62">
        <v>2023</v>
      </c>
      <c r="L33" s="34">
        <v>2024</v>
      </c>
      <c r="M33" s="34">
        <v>2025</v>
      </c>
      <c r="N33" s="34">
        <v>2026</v>
      </c>
      <c r="O33" s="62">
        <v>2027</v>
      </c>
      <c r="P33" s="62">
        <v>2028</v>
      </c>
      <c r="Q33" s="34">
        <v>2029</v>
      </c>
      <c r="R33" s="34">
        <v>2030</v>
      </c>
      <c r="S33" s="34">
        <v>2031</v>
      </c>
      <c r="T33" s="62">
        <v>2032</v>
      </c>
      <c r="U33" s="62">
        <v>2033</v>
      </c>
      <c r="V33" s="34">
        <v>2034</v>
      </c>
      <c r="W33" s="34">
        <v>2035</v>
      </c>
      <c r="X33" s="34">
        <v>2036</v>
      </c>
      <c r="Y33" s="62">
        <v>2037</v>
      </c>
      <c r="Z33" s="62">
        <v>2038</v>
      </c>
      <c r="AA33" s="34">
        <v>2039</v>
      </c>
      <c r="AB33" s="30"/>
      <c r="AC33" s="30"/>
      <c r="AD33" s="30"/>
      <c r="AE33" s="30"/>
      <c r="AF33" s="30"/>
      <c r="AG33" s="30"/>
      <c r="AH33" s="30"/>
      <c r="AI33" s="30"/>
      <c r="AJ33" s="30"/>
    </row>
    <row r="34" spans="2:36" x14ac:dyDescent="0.3">
      <c r="B34" s="32">
        <v>2019</v>
      </c>
      <c r="C34" s="35">
        <f>D8+G43</f>
        <v>211589.70850574711</v>
      </c>
      <c r="D34" s="40"/>
      <c r="F34" s="34" t="s">
        <v>33</v>
      </c>
      <c r="G34">
        <f>16000*30%</f>
        <v>4800</v>
      </c>
      <c r="H34" s="30">
        <f>24000*30%</f>
        <v>7200</v>
      </c>
      <c r="I34" s="30">
        <f>30000*30%</f>
        <v>9000</v>
      </c>
      <c r="J34" s="30">
        <f>30000*30%</f>
        <v>9000</v>
      </c>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row>
    <row r="35" spans="2:36" x14ac:dyDescent="0.3">
      <c r="B35" s="32">
        <v>2020</v>
      </c>
      <c r="C35" s="35">
        <f>D9+H43</f>
        <v>535639.75540229876</v>
      </c>
      <c r="D35" s="40"/>
      <c r="F35" s="34" t="s">
        <v>34</v>
      </c>
      <c r="G35" s="13">
        <f>(G34*50)/1450</f>
        <v>165.51724137931035</v>
      </c>
      <c r="H35" s="13">
        <f t="shared" ref="H35" si="10">(H34*50)/1450</f>
        <v>248.27586206896552</v>
      </c>
      <c r="I35" s="13">
        <f t="shared" ref="I35" si="11">(I34*50)/1450</f>
        <v>310.34482758620692</v>
      </c>
      <c r="J35" s="13">
        <f t="shared" ref="J35" si="12">(J34*50)/1450</f>
        <v>310.34482758620692</v>
      </c>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row>
    <row r="36" spans="2:36" x14ac:dyDescent="0.3">
      <c r="B36" s="32">
        <v>2021</v>
      </c>
      <c r="C36" s="35">
        <f>D10+I43</f>
        <v>952357.21103448269</v>
      </c>
      <c r="D36" s="40"/>
      <c r="F36" s="30"/>
      <c r="G36" s="34">
        <v>2019</v>
      </c>
      <c r="H36" s="34">
        <v>2020</v>
      </c>
      <c r="I36" s="5">
        <v>2021</v>
      </c>
      <c r="J36" s="5">
        <v>2022</v>
      </c>
      <c r="K36" s="5">
        <v>2023</v>
      </c>
      <c r="L36" s="5">
        <v>2024</v>
      </c>
      <c r="M36" s="34">
        <v>2025</v>
      </c>
      <c r="N36" s="34">
        <v>2026</v>
      </c>
      <c r="O36" s="5">
        <v>2027</v>
      </c>
      <c r="P36" s="5">
        <v>2028</v>
      </c>
      <c r="Q36" s="5">
        <v>2029</v>
      </c>
      <c r="R36" s="5">
        <v>2030</v>
      </c>
      <c r="S36" s="34">
        <v>2031</v>
      </c>
      <c r="T36" s="34">
        <v>2032</v>
      </c>
      <c r="U36" s="5">
        <v>2033</v>
      </c>
      <c r="V36" s="5">
        <v>2034</v>
      </c>
      <c r="W36" s="5">
        <v>2035</v>
      </c>
      <c r="X36" s="5">
        <v>2036</v>
      </c>
      <c r="Y36" s="34">
        <v>2037</v>
      </c>
      <c r="Z36" s="34">
        <v>2038</v>
      </c>
      <c r="AA36" s="5">
        <v>2039</v>
      </c>
      <c r="AB36" s="30"/>
      <c r="AC36" s="30"/>
      <c r="AD36" s="30"/>
      <c r="AE36" s="30"/>
      <c r="AF36" s="30"/>
      <c r="AG36" s="30"/>
      <c r="AH36" s="30"/>
      <c r="AI36" s="30"/>
      <c r="AJ36" s="30"/>
    </row>
    <row r="37" spans="2:36" x14ac:dyDescent="0.3">
      <c r="B37" s="32">
        <v>2022</v>
      </c>
      <c r="C37" s="35">
        <f>D11+J43</f>
        <v>1388037.0103448273</v>
      </c>
      <c r="D37" s="40"/>
      <c r="F37" s="34" t="s">
        <v>35</v>
      </c>
      <c r="G37" s="37">
        <f>$G$35*G31</f>
        <v>684.57931034482749</v>
      </c>
      <c r="H37" s="37">
        <f>$G$35*H31</f>
        <v>2053.7379310344827</v>
      </c>
      <c r="I37" s="37">
        <f>$G$35*I31</f>
        <v>4107.4758620689654</v>
      </c>
      <c r="J37" s="37">
        <f t="shared" ref="J37:AA37" si="13">$G$35*J31</f>
        <v>6845.7931034482763</v>
      </c>
      <c r="K37" s="37">
        <f t="shared" si="13"/>
        <v>9700.6344827586199</v>
      </c>
      <c r="L37" s="37">
        <f t="shared" si="13"/>
        <v>12671.999999999998</v>
      </c>
      <c r="M37" s="37">
        <f t="shared" si="13"/>
        <v>15752.606896551722</v>
      </c>
      <c r="N37" s="37">
        <f t="shared" si="13"/>
        <v>18949.737931034484</v>
      </c>
      <c r="O37" s="37">
        <f t="shared" si="13"/>
        <v>22132.303448275863</v>
      </c>
      <c r="P37" s="37">
        <f t="shared" si="13"/>
        <v>25314.868965517238</v>
      </c>
      <c r="Q37" s="37">
        <f t="shared" si="13"/>
        <v>28475.586206896554</v>
      </c>
      <c r="R37" s="37">
        <f t="shared" si="13"/>
        <v>31636.303448275856</v>
      </c>
      <c r="S37" s="37">
        <f t="shared" si="13"/>
        <v>34775.172413793101</v>
      </c>
      <c r="T37" s="37">
        <f t="shared" si="13"/>
        <v>37892.193103448277</v>
      </c>
      <c r="U37" s="37">
        <f t="shared" si="13"/>
        <v>40987.365517241378</v>
      </c>
      <c r="V37" s="37">
        <f t="shared" si="13"/>
        <v>44060.689655172413</v>
      </c>
      <c r="W37" s="37">
        <f t="shared" si="13"/>
        <v>47119.448275862072</v>
      </c>
      <c r="X37" s="37">
        <f t="shared" si="13"/>
        <v>50156.358620689658</v>
      </c>
      <c r="Y37" s="37">
        <f t="shared" si="13"/>
        <v>53178.703448275854</v>
      </c>
      <c r="Z37" s="37">
        <f t="shared" si="13"/>
        <v>56171.917241379306</v>
      </c>
      <c r="AA37" s="37">
        <f t="shared" si="13"/>
        <v>59150.565517241383</v>
      </c>
    </row>
    <row r="38" spans="2:36" x14ac:dyDescent="0.3">
      <c r="B38" s="32">
        <v>2023</v>
      </c>
      <c r="C38" s="35">
        <f>D12+K43</f>
        <v>1448885.3335632181</v>
      </c>
      <c r="D38" s="40"/>
      <c r="F38" s="34" t="s">
        <v>36</v>
      </c>
      <c r="G38" s="37"/>
      <c r="H38" s="37">
        <f>$H$35*G31</f>
        <v>1026.8689655172411</v>
      </c>
      <c r="I38" s="37">
        <f t="shared" ref="I38:AA38" si="14">$H$35*H31</f>
        <v>3080.6068965517243</v>
      </c>
      <c r="J38" s="37">
        <f t="shared" si="14"/>
        <v>6161.2137931034486</v>
      </c>
      <c r="K38" s="37">
        <f t="shared" si="14"/>
        <v>10268.689655172413</v>
      </c>
      <c r="L38" s="37">
        <f t="shared" si="14"/>
        <v>14550.951724137931</v>
      </c>
      <c r="M38" s="37">
        <f t="shared" si="14"/>
        <v>19007.999999999996</v>
      </c>
      <c r="N38" s="37">
        <f t="shared" si="14"/>
        <v>23628.910344827582</v>
      </c>
      <c r="O38" s="37">
        <f t="shared" si="14"/>
        <v>28424.606896551726</v>
      </c>
      <c r="P38" s="37">
        <f t="shared" si="14"/>
        <v>33198.455172413793</v>
      </c>
      <c r="Q38" s="37">
        <f t="shared" si="14"/>
        <v>37972.303448275859</v>
      </c>
      <c r="R38" s="37">
        <f t="shared" si="14"/>
        <v>42713.379310344833</v>
      </c>
      <c r="S38" s="37">
        <f t="shared" si="14"/>
        <v>47454.455172413785</v>
      </c>
      <c r="T38" s="37">
        <f t="shared" si="14"/>
        <v>52162.758620689645</v>
      </c>
      <c r="U38" s="37">
        <f t="shared" si="14"/>
        <v>56838.289655172419</v>
      </c>
      <c r="V38" s="37">
        <f t="shared" si="14"/>
        <v>61481.048275862064</v>
      </c>
      <c r="W38" s="37">
        <f t="shared" si="14"/>
        <v>66091.034482758623</v>
      </c>
      <c r="X38" s="37">
        <f t="shared" si="14"/>
        <v>70679.172413793101</v>
      </c>
      <c r="Y38" s="37">
        <f t="shared" si="14"/>
        <v>75234.537931034487</v>
      </c>
      <c r="Z38" s="37">
        <f t="shared" si="14"/>
        <v>79768.055172413777</v>
      </c>
      <c r="AA38" s="37">
        <f t="shared" si="14"/>
        <v>84257.875862068962</v>
      </c>
    </row>
    <row r="39" spans="2:36" x14ac:dyDescent="0.3">
      <c r="B39" s="32">
        <v>2024</v>
      </c>
      <c r="C39" s="35">
        <f>D13+L43</f>
        <v>1521077.4156321837</v>
      </c>
      <c r="D39" s="40"/>
      <c r="F39" s="34" t="s">
        <v>37</v>
      </c>
      <c r="G39" s="37"/>
      <c r="H39" s="37"/>
      <c r="I39" s="37">
        <f>$I$35*G31</f>
        <v>1283.5862068965516</v>
      </c>
      <c r="J39" s="37">
        <f t="shared" ref="J39:AA39" si="15">$I$35*H31</f>
        <v>3850.7586206896553</v>
      </c>
      <c r="K39" s="37">
        <f t="shared" si="15"/>
        <v>7701.5172413793107</v>
      </c>
      <c r="L39" s="37">
        <f t="shared" si="15"/>
        <v>12835.862068965518</v>
      </c>
      <c r="M39" s="37">
        <f t="shared" si="15"/>
        <v>18188.689655172413</v>
      </c>
      <c r="N39" s="37">
        <f t="shared" si="15"/>
        <v>23759.999999999996</v>
      </c>
      <c r="O39" s="37">
        <f t="shared" si="15"/>
        <v>29536.137931034478</v>
      </c>
      <c r="P39" s="37">
        <f t="shared" si="15"/>
        <v>35530.758620689659</v>
      </c>
      <c r="Q39" s="37">
        <f t="shared" si="15"/>
        <v>41498.068965517246</v>
      </c>
      <c r="R39" s="37">
        <f t="shared" si="15"/>
        <v>47465.379310344826</v>
      </c>
      <c r="S39" s="37">
        <f t="shared" si="15"/>
        <v>53391.724137931044</v>
      </c>
      <c r="T39" s="37">
        <f t="shared" si="15"/>
        <v>59318.068965517232</v>
      </c>
      <c r="U39" s="37">
        <f t="shared" si="15"/>
        <v>65203.448275862065</v>
      </c>
      <c r="V39" s="37">
        <f t="shared" si="15"/>
        <v>71047.862068965522</v>
      </c>
      <c r="W39" s="37">
        <f t="shared" si="15"/>
        <v>76851.31034482758</v>
      </c>
      <c r="X39" s="37">
        <f t="shared" si="15"/>
        <v>82613.793103448275</v>
      </c>
      <c r="Y39" s="37">
        <f t="shared" si="15"/>
        <v>88348.965517241391</v>
      </c>
      <c r="Z39" s="37">
        <f t="shared" si="15"/>
        <v>94043.172413793116</v>
      </c>
      <c r="AA39" s="37">
        <f t="shared" si="15"/>
        <v>99710.068965517232</v>
      </c>
    </row>
    <row r="40" spans="2:36" x14ac:dyDescent="0.3">
      <c r="B40" s="32">
        <v>2025</v>
      </c>
      <c r="C40" s="35">
        <f>D14+M43</f>
        <v>1599304.2949425285</v>
      </c>
      <c r="D40" s="40"/>
      <c r="F40" s="34" t="s">
        <v>38</v>
      </c>
      <c r="G40" s="37"/>
      <c r="H40" s="37"/>
      <c r="I40" s="37"/>
      <c r="J40" s="37">
        <f>$J$35*G31</f>
        <v>1283.5862068965516</v>
      </c>
      <c r="K40" s="37">
        <f t="shared" ref="K40:AA40" si="16">$J$35*H31</f>
        <v>3850.7586206896553</v>
      </c>
      <c r="L40" s="37">
        <f t="shared" si="16"/>
        <v>7701.5172413793107</v>
      </c>
      <c r="M40" s="37">
        <f t="shared" si="16"/>
        <v>12835.862068965518</v>
      </c>
      <c r="N40" s="37">
        <f t="shared" si="16"/>
        <v>18188.689655172413</v>
      </c>
      <c r="O40" s="37">
        <f t="shared" si="16"/>
        <v>23759.999999999996</v>
      </c>
      <c r="P40" s="37">
        <f t="shared" si="16"/>
        <v>29536.137931034478</v>
      </c>
      <c r="Q40" s="37">
        <f t="shared" si="16"/>
        <v>35530.758620689659</v>
      </c>
      <c r="R40" s="37">
        <f t="shared" si="16"/>
        <v>41498.068965517246</v>
      </c>
      <c r="S40" s="37">
        <f t="shared" si="16"/>
        <v>47465.379310344826</v>
      </c>
      <c r="T40" s="37">
        <f t="shared" si="16"/>
        <v>53391.724137931044</v>
      </c>
      <c r="U40" s="37">
        <f t="shared" si="16"/>
        <v>59318.068965517232</v>
      </c>
      <c r="V40" s="37">
        <f t="shared" si="16"/>
        <v>65203.448275862065</v>
      </c>
      <c r="W40" s="37">
        <f t="shared" si="16"/>
        <v>71047.862068965522</v>
      </c>
      <c r="X40" s="37">
        <f t="shared" si="16"/>
        <v>76851.31034482758</v>
      </c>
      <c r="Y40" s="37">
        <f t="shared" si="16"/>
        <v>82613.793103448275</v>
      </c>
      <c r="Z40" s="37">
        <f t="shared" si="16"/>
        <v>88348.965517241391</v>
      </c>
      <c r="AA40" s="37">
        <f t="shared" si="16"/>
        <v>94043.172413793116</v>
      </c>
    </row>
    <row r="41" spans="2:36" x14ac:dyDescent="0.3">
      <c r="B41" s="32">
        <v>2026</v>
      </c>
      <c r="C41" s="35">
        <f>D15+N43</f>
        <v>1681284.6979310343</v>
      </c>
      <c r="D41" s="40"/>
      <c r="F41" s="34" t="s">
        <v>43</v>
      </c>
      <c r="G41" s="37">
        <f>SUM(G37:G40)</f>
        <v>684.57931034482749</v>
      </c>
      <c r="H41" s="37">
        <f t="shared" ref="H41" si="17">SUM(H37:H40)</f>
        <v>3080.6068965517238</v>
      </c>
      <c r="I41" s="37">
        <f t="shared" ref="I41" si="18">SUM(I37:I40)</f>
        <v>8471.6689655172413</v>
      </c>
      <c r="J41" s="37">
        <f t="shared" ref="J41" si="19">SUM(J37:J40)</f>
        <v>18141.35172413793</v>
      </c>
      <c r="K41" s="37">
        <f t="shared" ref="K41" si="20">SUM(K37:K40)</f>
        <v>31521.600000000002</v>
      </c>
      <c r="L41" s="37">
        <f t="shared" ref="L41" si="21">SUM(L37:L40)</f>
        <v>47760.331034482755</v>
      </c>
      <c r="M41" s="37">
        <f t="shared" ref="M41" si="22">SUM(M37:M40)</f>
        <v>65785.158620689646</v>
      </c>
      <c r="N41" s="37">
        <f t="shared" ref="N41" si="23">SUM(N37:N40)</f>
        <v>84527.337931034475</v>
      </c>
      <c r="O41" s="37">
        <f t="shared" ref="O41" si="24">SUM(O37:O40)</f>
        <v>103853.04827586206</v>
      </c>
      <c r="P41" s="37">
        <f t="shared" ref="P41" si="25">SUM(P37:P40)</f>
        <v>123580.22068965518</v>
      </c>
      <c r="Q41" s="37">
        <f t="shared" ref="Q41" si="26">SUM(Q37:Q40)</f>
        <v>143476.71724137932</v>
      </c>
      <c r="R41" s="37">
        <f t="shared" ref="R41" si="27">SUM(R37:R40)</f>
        <v>163313.13103448277</v>
      </c>
      <c r="S41" s="37">
        <f t="shared" ref="S41" si="28">SUM(S37:S40)</f>
        <v>183086.73103448277</v>
      </c>
      <c r="T41" s="37">
        <f t="shared" ref="T41" si="29">SUM(T37:T40)</f>
        <v>202764.7448275862</v>
      </c>
      <c r="U41" s="37">
        <f t="shared" ref="U41" si="30">SUM(U37:U40)</f>
        <v>222347.1724137931</v>
      </c>
      <c r="V41" s="37">
        <f t="shared" ref="V41" si="31">SUM(V37:V40)</f>
        <v>241793.04827586203</v>
      </c>
      <c r="W41" s="37">
        <f t="shared" ref="W41" si="32">SUM(W37:W40)</f>
        <v>261109.6551724138</v>
      </c>
      <c r="X41" s="37">
        <f t="shared" ref="X41" si="33">SUM(X37:X40)</f>
        <v>280300.63448275864</v>
      </c>
      <c r="Y41" s="37">
        <f t="shared" ref="Y41" si="34">SUM(Y37:Y40)</f>
        <v>299376</v>
      </c>
      <c r="Z41" s="37">
        <f t="shared" ref="Z41" si="35">SUM(Z37:Z40)</f>
        <v>318332.11034482758</v>
      </c>
      <c r="AA41" s="37">
        <f t="shared" ref="AA41" si="36">SUM(AA37:AA40)</f>
        <v>337161.68275862065</v>
      </c>
    </row>
    <row r="42" spans="2:36" x14ac:dyDescent="0.3">
      <c r="B42" s="32">
        <v>2027</v>
      </c>
      <c r="C42" s="35">
        <f>D16+O43</f>
        <v>1765291.5411494251</v>
      </c>
      <c r="D42" s="40"/>
    </row>
    <row r="43" spans="2:36" x14ac:dyDescent="0.3">
      <c r="B43" s="44" t="s">
        <v>13</v>
      </c>
      <c r="C43" s="33">
        <f>SUM(C34:C42)</f>
        <v>11103466.968505746</v>
      </c>
      <c r="D43" s="40"/>
      <c r="F43" s="34" t="s">
        <v>42</v>
      </c>
      <c r="G43" s="20">
        <f>SUM(G41+G22)</f>
        <v>3323.0418390804598</v>
      </c>
      <c r="H43" s="20">
        <f t="shared" ref="H43:AA43" si="37">SUM(H41+H22)</f>
        <v>14973.088735632184</v>
      </c>
      <c r="I43" s="20">
        <f t="shared" si="37"/>
        <v>41190.544367816088</v>
      </c>
      <c r="J43" s="20">
        <f t="shared" si="37"/>
        <v>86370.343678160905</v>
      </c>
      <c r="K43" s="20">
        <f t="shared" si="37"/>
        <v>147218.6668965517</v>
      </c>
      <c r="L43" s="20">
        <f t="shared" si="37"/>
        <v>219410.74896551721</v>
      </c>
      <c r="M43" s="20">
        <f t="shared" si="37"/>
        <v>297637.62827586202</v>
      </c>
      <c r="N43" s="20">
        <f t="shared" si="37"/>
        <v>379618.03126436775</v>
      </c>
      <c r="O43" s="20">
        <f t="shared" si="37"/>
        <v>463624.87448275852</v>
      </c>
      <c r="P43" s="20">
        <f t="shared" si="37"/>
        <v>547967.70321839082</v>
      </c>
      <c r="Q43" s="20">
        <f t="shared" si="37"/>
        <v>632329.50252873567</v>
      </c>
      <c r="R43" s="20">
        <f t="shared" si="37"/>
        <v>716420.23908045969</v>
      </c>
      <c r="S43" s="20">
        <f t="shared" si="37"/>
        <v>800157.15494252881</v>
      </c>
      <c r="T43" s="20">
        <f t="shared" si="37"/>
        <v>883378.94965517253</v>
      </c>
      <c r="U43" s="20">
        <f t="shared" si="37"/>
        <v>966112.29885057476</v>
      </c>
      <c r="V43" s="20">
        <f t="shared" si="37"/>
        <v>1048289.5613793103</v>
      </c>
      <c r="W43" s="20">
        <f t="shared" si="37"/>
        <v>1129888.9193103448</v>
      </c>
      <c r="X43" s="20">
        <f t="shared" si="37"/>
        <v>1210894.6135632184</v>
      </c>
      <c r="Y43" s="20">
        <f t="shared" si="37"/>
        <v>1291270.5818390804</v>
      </c>
      <c r="Z43" s="20">
        <f t="shared" si="37"/>
        <v>1370986.5071264368</v>
      </c>
      <c r="AA43" s="20">
        <f t="shared" si="37"/>
        <v>1450044.8068965517</v>
      </c>
    </row>
    <row r="44" spans="2:36" x14ac:dyDescent="0.3">
      <c r="D44" s="40"/>
    </row>
    <row r="45" spans="2:36" x14ac:dyDescent="0.3">
      <c r="D45" s="40"/>
    </row>
    <row r="46" spans="2:36" x14ac:dyDescent="0.3">
      <c r="D46" s="40"/>
    </row>
    <row r="47" spans="2:36" x14ac:dyDescent="0.3">
      <c r="D47" s="40"/>
    </row>
    <row r="48" spans="2:36" x14ac:dyDescent="0.3">
      <c r="D48" s="40"/>
    </row>
    <row r="49" spans="4:4" x14ac:dyDescent="0.3">
      <c r="D49" s="40"/>
    </row>
    <row r="50" spans="4:4" x14ac:dyDescent="0.3">
      <c r="D50" s="40"/>
    </row>
    <row r="51" spans="4:4" x14ac:dyDescent="0.3">
      <c r="D51" s="40"/>
    </row>
    <row r="52" spans="4:4" x14ac:dyDescent="0.3">
      <c r="D52" s="40"/>
    </row>
    <row r="53" spans="4:4" x14ac:dyDescent="0.3">
      <c r="D53" s="40"/>
    </row>
    <row r="54" spans="4:4" x14ac:dyDescent="0.3">
      <c r="D54" s="40"/>
    </row>
    <row r="55" spans="4:4" x14ac:dyDescent="0.3">
      <c r="D55" s="65"/>
    </row>
  </sheetData>
  <mergeCells count="6">
    <mergeCell ref="F3:L3"/>
    <mergeCell ref="B32:C32"/>
    <mergeCell ref="F7:G7"/>
    <mergeCell ref="F26:G26"/>
    <mergeCell ref="F4:L4"/>
    <mergeCell ref="F5:L6"/>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S32"/>
  <sheetViews>
    <sheetView topLeftCell="C1" zoomScale="70" zoomScaleNormal="70" zoomScalePageLayoutView="70" workbookViewId="0">
      <selection activeCell="R11" sqref="R11:R20"/>
    </sheetView>
  </sheetViews>
  <sheetFormatPr defaultColWidth="11.44140625" defaultRowHeight="14.4" x14ac:dyDescent="0.3"/>
  <cols>
    <col min="1" max="1" width="19.77734375" customWidth="1"/>
    <col min="2" max="2" width="31.33203125" bestFit="1" customWidth="1"/>
    <col min="3" max="3" width="14.33203125" bestFit="1" customWidth="1"/>
    <col min="4" max="4" width="16.33203125" customWidth="1"/>
    <col min="5" max="5" width="16.33203125" bestFit="1" customWidth="1"/>
    <col min="6" max="6" width="16.33203125" customWidth="1"/>
    <col min="7" max="7" width="29.6640625" customWidth="1"/>
    <col min="9" max="9" width="30" bestFit="1" customWidth="1"/>
    <col min="10" max="10" width="17.6640625" customWidth="1"/>
    <col min="11" max="11" width="16.6640625" bestFit="1" customWidth="1"/>
    <col min="12" max="12" width="15.77734375" customWidth="1"/>
    <col min="13" max="13" width="19.21875" customWidth="1"/>
    <col min="14" max="14" width="17.6640625" customWidth="1"/>
    <col min="18" max="18" width="12.6640625" bestFit="1" customWidth="1"/>
  </cols>
  <sheetData>
    <row r="2" spans="1:18" x14ac:dyDescent="0.3">
      <c r="B2" s="122" t="s">
        <v>45</v>
      </c>
      <c r="C2" s="122"/>
      <c r="D2" s="122"/>
      <c r="E2" s="122"/>
      <c r="F2" s="122"/>
      <c r="G2" s="122"/>
      <c r="I2" s="122" t="s">
        <v>57</v>
      </c>
      <c r="J2" s="122"/>
      <c r="K2" s="122"/>
      <c r="L2" s="122"/>
      <c r="M2" s="122"/>
      <c r="N2" s="122"/>
    </row>
    <row r="3" spans="1:18" x14ac:dyDescent="0.3">
      <c r="B3" s="46" t="s">
        <v>20</v>
      </c>
      <c r="C3" s="47" t="s">
        <v>18</v>
      </c>
      <c r="D3" s="73" t="s">
        <v>50</v>
      </c>
      <c r="E3" s="48"/>
      <c r="F3" s="73" t="s">
        <v>51</v>
      </c>
      <c r="G3" s="74"/>
      <c r="I3" s="46" t="s">
        <v>20</v>
      </c>
      <c r="J3" s="47" t="s">
        <v>18</v>
      </c>
      <c r="K3" s="73" t="s">
        <v>50</v>
      </c>
      <c r="L3" s="48"/>
      <c r="M3" s="73" t="s">
        <v>51</v>
      </c>
      <c r="N3" s="74"/>
    </row>
    <row r="4" spans="1:18" x14ac:dyDescent="0.3">
      <c r="B4" s="50" t="s">
        <v>46</v>
      </c>
      <c r="C4" s="51" t="s">
        <v>14</v>
      </c>
      <c r="D4" s="51">
        <v>15</v>
      </c>
      <c r="E4" s="51"/>
      <c r="F4" s="51">
        <v>10</v>
      </c>
      <c r="G4" s="75"/>
      <c r="I4" s="50" t="s">
        <v>46</v>
      </c>
      <c r="J4" s="51" t="s">
        <v>14</v>
      </c>
      <c r="K4" s="51">
        <v>7</v>
      </c>
      <c r="L4" s="51"/>
      <c r="M4" s="51">
        <v>5</v>
      </c>
      <c r="N4" s="75"/>
    </row>
    <row r="5" spans="1:18" x14ac:dyDescent="0.3">
      <c r="B5" s="50" t="s">
        <v>52</v>
      </c>
      <c r="C5" s="51" t="s">
        <v>53</v>
      </c>
      <c r="D5" s="51">
        <v>0.37</v>
      </c>
      <c r="E5" s="51"/>
      <c r="F5" s="51">
        <v>0.2</v>
      </c>
      <c r="G5" s="75"/>
      <c r="I5" s="50" t="s">
        <v>52</v>
      </c>
      <c r="J5" s="51" t="s">
        <v>53</v>
      </c>
      <c r="K5" s="51">
        <v>0.37</v>
      </c>
      <c r="L5" s="51"/>
      <c r="M5" s="51">
        <v>0.2</v>
      </c>
      <c r="N5" s="75"/>
    </row>
    <row r="6" spans="1:18" x14ac:dyDescent="0.3">
      <c r="B6" s="50" t="s">
        <v>49</v>
      </c>
      <c r="C6" s="67">
        <v>0.47</v>
      </c>
      <c r="D6" s="51"/>
      <c r="E6" s="51"/>
      <c r="F6" s="51"/>
      <c r="G6" s="75"/>
      <c r="I6" s="50" t="s">
        <v>49</v>
      </c>
      <c r="J6" s="67">
        <v>0.47</v>
      </c>
      <c r="K6" s="51"/>
      <c r="L6" s="51"/>
      <c r="M6" s="51"/>
      <c r="N6" s="75"/>
    </row>
    <row r="7" spans="1:18" x14ac:dyDescent="0.3">
      <c r="A7" s="23"/>
      <c r="B7" s="50" t="s">
        <v>21</v>
      </c>
      <c r="C7" s="70">
        <f>44/12</f>
        <v>3.6666666666666665</v>
      </c>
      <c r="D7" s="71">
        <v>0.7</v>
      </c>
      <c r="E7" s="51"/>
      <c r="F7" s="71">
        <v>0.3</v>
      </c>
      <c r="G7" s="76">
        <v>1</v>
      </c>
      <c r="I7" s="50" t="s">
        <v>21</v>
      </c>
      <c r="J7" s="70">
        <f>44/12</f>
        <v>3.6666666666666665</v>
      </c>
      <c r="K7" s="71">
        <v>0.7</v>
      </c>
      <c r="L7" s="51"/>
      <c r="M7" s="71">
        <v>0.3</v>
      </c>
      <c r="N7" s="76">
        <v>1</v>
      </c>
    </row>
    <row r="8" spans="1:18" x14ac:dyDescent="0.3">
      <c r="A8" s="23"/>
      <c r="B8" s="50"/>
      <c r="C8" s="70" t="s">
        <v>54</v>
      </c>
      <c r="D8" s="72">
        <f>(D4+(D4*D5))*C6</f>
        <v>9.6585000000000001</v>
      </c>
      <c r="E8" s="51"/>
      <c r="F8" s="51">
        <f>(F4+(F4*F5))*C6</f>
        <v>5.64</v>
      </c>
      <c r="G8" s="75"/>
      <c r="I8" s="50"/>
      <c r="J8" s="70" t="s">
        <v>54</v>
      </c>
      <c r="K8" s="72">
        <f>(K4+(K4*K5))*J6</f>
        <v>4.5072999999999999</v>
      </c>
      <c r="L8" s="51"/>
      <c r="M8" s="51">
        <f>(M4+(M4*M5))*J6</f>
        <v>2.82</v>
      </c>
      <c r="N8" s="75"/>
      <c r="Q8" s="125" t="s">
        <v>59</v>
      </c>
      <c r="R8" s="126"/>
    </row>
    <row r="9" spans="1:18" x14ac:dyDescent="0.3">
      <c r="A9" s="23"/>
      <c r="B9" s="77"/>
      <c r="C9" s="129" t="s">
        <v>47</v>
      </c>
      <c r="D9" s="129"/>
      <c r="E9" s="129" t="s">
        <v>48</v>
      </c>
      <c r="F9" s="129"/>
      <c r="G9" s="78"/>
      <c r="I9" s="77"/>
      <c r="J9" s="123" t="s">
        <v>47</v>
      </c>
      <c r="K9" s="124"/>
      <c r="L9" s="123" t="s">
        <v>48</v>
      </c>
      <c r="M9" s="124"/>
      <c r="N9" s="69" t="s">
        <v>56</v>
      </c>
      <c r="Q9" s="127"/>
      <c r="R9" s="128"/>
    </row>
    <row r="10" spans="1:18" ht="43.2" x14ac:dyDescent="0.3">
      <c r="A10" s="23"/>
      <c r="B10" s="79" t="s">
        <v>23</v>
      </c>
      <c r="C10" s="80" t="s">
        <v>22</v>
      </c>
      <c r="D10" s="80" t="s">
        <v>31</v>
      </c>
      <c r="E10" s="80" t="s">
        <v>22</v>
      </c>
      <c r="F10" s="80" t="s">
        <v>31</v>
      </c>
      <c r="G10" s="80" t="s">
        <v>55</v>
      </c>
      <c r="I10" s="79" t="s">
        <v>23</v>
      </c>
      <c r="J10" s="80" t="s">
        <v>22</v>
      </c>
      <c r="K10" s="80" t="s">
        <v>31</v>
      </c>
      <c r="L10" s="80" t="s">
        <v>22</v>
      </c>
      <c r="M10" s="80" t="s">
        <v>31</v>
      </c>
      <c r="N10" s="80" t="s">
        <v>58</v>
      </c>
      <c r="Q10" s="90" t="s">
        <v>23</v>
      </c>
      <c r="R10" s="59" t="s">
        <v>31</v>
      </c>
    </row>
    <row r="11" spans="1:18" x14ac:dyDescent="0.3">
      <c r="A11" s="22">
        <v>20000</v>
      </c>
      <c r="B11" s="32">
        <v>2019</v>
      </c>
      <c r="C11" s="35">
        <f>10000*D7</f>
        <v>7000</v>
      </c>
      <c r="D11" s="68">
        <f>C11*$D$8*$C$7</f>
        <v>247901.5</v>
      </c>
      <c r="E11" s="43">
        <f>10000*F7</f>
        <v>3000</v>
      </c>
      <c r="F11" s="43">
        <f>E11*$F$8*$C$7</f>
        <v>62040</v>
      </c>
      <c r="G11" s="43">
        <f>SUM(F11,D11)</f>
        <v>309941.5</v>
      </c>
      <c r="H11">
        <v>30000</v>
      </c>
      <c r="I11" s="32">
        <v>2019</v>
      </c>
      <c r="J11" s="42">
        <f>H11*$K$7</f>
        <v>21000</v>
      </c>
      <c r="K11" s="68">
        <f>J11*$K$8*$J$7</f>
        <v>347062.1</v>
      </c>
      <c r="L11" s="84">
        <f>H11*$M$7</f>
        <v>9000</v>
      </c>
      <c r="M11" s="84">
        <f>L11*$M$8*$J$7</f>
        <v>93060</v>
      </c>
      <c r="N11" s="43">
        <f t="shared" ref="N11:N31" si="0">SUM(M11,K11)</f>
        <v>440122.1</v>
      </c>
      <c r="Q11" s="32">
        <v>2019</v>
      </c>
      <c r="R11" s="35">
        <f>SUM(N11+G11)</f>
        <v>750063.6</v>
      </c>
    </row>
    <row r="12" spans="1:18" x14ac:dyDescent="0.3">
      <c r="A12" s="22">
        <v>20000</v>
      </c>
      <c r="B12" s="32">
        <v>2020</v>
      </c>
      <c r="C12" s="35">
        <f>C11+(10000*D7)</f>
        <v>14000</v>
      </c>
      <c r="D12" s="68">
        <f t="shared" ref="D12:D31" si="1">C12*$D$8*$C$7</f>
        <v>495803</v>
      </c>
      <c r="E12" s="43">
        <f>E11+(10000*F7)</f>
        <v>6000</v>
      </c>
      <c r="F12" s="43">
        <f t="shared" ref="F12:F31" si="2">E12*$F$8*$C$7</f>
        <v>124080</v>
      </c>
      <c r="G12" s="43">
        <f t="shared" ref="G12:G31" si="3">SUM(F12,D12)</f>
        <v>619883</v>
      </c>
      <c r="H12">
        <v>30000</v>
      </c>
      <c r="I12" s="32">
        <v>2020</v>
      </c>
      <c r="J12" s="42">
        <f>J11+(H12*$K$7)</f>
        <v>42000</v>
      </c>
      <c r="K12" s="68">
        <f t="shared" ref="K12:K31" si="4">J12*$K$8*$J$7</f>
        <v>694124.2</v>
      </c>
      <c r="L12" s="84">
        <f>L11+(H12*$M$7)</f>
        <v>18000</v>
      </c>
      <c r="M12" s="84">
        <f t="shared" ref="M12:M31" si="5">L12*$M$8*$J$7</f>
        <v>186120</v>
      </c>
      <c r="N12" s="43">
        <f t="shared" si="0"/>
        <v>880244.2</v>
      </c>
      <c r="Q12" s="32">
        <v>2020</v>
      </c>
      <c r="R12" s="35">
        <f t="shared" ref="R12:R19" si="6">SUM(N12+G12)</f>
        <v>1500127.2</v>
      </c>
    </row>
    <row r="13" spans="1:18" x14ac:dyDescent="0.3">
      <c r="A13" s="22">
        <v>20000</v>
      </c>
      <c r="B13" s="32">
        <v>2021</v>
      </c>
      <c r="C13" s="42">
        <f>C12+(10000*D7)</f>
        <v>21000</v>
      </c>
      <c r="D13" s="68">
        <f t="shared" si="1"/>
        <v>743704.5</v>
      </c>
      <c r="E13" s="43">
        <f>E12+(10000*F7)</f>
        <v>9000</v>
      </c>
      <c r="F13" s="43">
        <f t="shared" si="2"/>
        <v>186120</v>
      </c>
      <c r="G13" s="43">
        <f t="shared" si="3"/>
        <v>929824.5</v>
      </c>
      <c r="H13">
        <v>30000</v>
      </c>
      <c r="I13" s="32">
        <v>2021</v>
      </c>
      <c r="J13" s="42">
        <f>J12+(H13*$K$7)</f>
        <v>63000</v>
      </c>
      <c r="K13" s="68">
        <f t="shared" si="4"/>
        <v>1041186.2999999998</v>
      </c>
      <c r="L13" s="84">
        <f>L12+(H13*$M$7)</f>
        <v>27000</v>
      </c>
      <c r="M13" s="84">
        <f t="shared" si="5"/>
        <v>279180</v>
      </c>
      <c r="N13" s="43">
        <f t="shared" si="0"/>
        <v>1320366.2999999998</v>
      </c>
      <c r="Q13" s="32">
        <v>2021</v>
      </c>
      <c r="R13" s="35">
        <f t="shared" si="6"/>
        <v>2250190.7999999998</v>
      </c>
    </row>
    <row r="14" spans="1:18" x14ac:dyDescent="0.3">
      <c r="A14" s="22">
        <v>20000</v>
      </c>
      <c r="B14" s="32">
        <v>2022</v>
      </c>
      <c r="C14" s="42">
        <f>C13+(10000*D7)</f>
        <v>28000</v>
      </c>
      <c r="D14" s="68">
        <f t="shared" si="1"/>
        <v>991606</v>
      </c>
      <c r="E14" s="43">
        <f>E13+(10000*F7)</f>
        <v>12000</v>
      </c>
      <c r="F14" s="43">
        <f t="shared" si="2"/>
        <v>248160</v>
      </c>
      <c r="G14" s="43">
        <f t="shared" si="3"/>
        <v>1239766</v>
      </c>
      <c r="H14">
        <v>24000</v>
      </c>
      <c r="I14" s="32">
        <v>2022</v>
      </c>
      <c r="J14" s="42">
        <f>J13+(H14*$K$7)</f>
        <v>79800</v>
      </c>
      <c r="K14" s="68">
        <f t="shared" si="4"/>
        <v>1318835.98</v>
      </c>
      <c r="L14" s="84">
        <f>L13+(H14*$M$7)</f>
        <v>34200</v>
      </c>
      <c r="M14" s="84">
        <f t="shared" si="5"/>
        <v>353628</v>
      </c>
      <c r="N14" s="43">
        <f t="shared" si="0"/>
        <v>1672463.98</v>
      </c>
      <c r="Q14" s="32">
        <v>2022</v>
      </c>
      <c r="R14" s="35">
        <f t="shared" si="6"/>
        <v>2912229.98</v>
      </c>
    </row>
    <row r="15" spans="1:18" x14ac:dyDescent="0.3">
      <c r="B15" s="32">
        <v>2023</v>
      </c>
      <c r="C15" s="42">
        <v>28000</v>
      </c>
      <c r="D15" s="68">
        <f t="shared" si="1"/>
        <v>991606</v>
      </c>
      <c r="E15" s="43">
        <v>12000</v>
      </c>
      <c r="F15" s="43">
        <f t="shared" si="2"/>
        <v>248160</v>
      </c>
      <c r="G15" s="43">
        <f t="shared" si="3"/>
        <v>1239766</v>
      </c>
      <c r="I15" s="32">
        <v>2023</v>
      </c>
      <c r="J15" s="42">
        <f>J14</f>
        <v>79800</v>
      </c>
      <c r="K15" s="68">
        <f t="shared" si="4"/>
        <v>1318835.98</v>
      </c>
      <c r="L15" s="84">
        <f>L14</f>
        <v>34200</v>
      </c>
      <c r="M15" s="84">
        <f t="shared" si="5"/>
        <v>353628</v>
      </c>
      <c r="N15" s="43">
        <f t="shared" si="0"/>
        <v>1672463.98</v>
      </c>
      <c r="Q15" s="32">
        <v>2023</v>
      </c>
      <c r="R15" s="35">
        <f t="shared" si="6"/>
        <v>2912229.98</v>
      </c>
    </row>
    <row r="16" spans="1:18" x14ac:dyDescent="0.3">
      <c r="B16" s="32">
        <v>2024</v>
      </c>
      <c r="C16" s="42">
        <v>28000</v>
      </c>
      <c r="D16" s="68">
        <f t="shared" si="1"/>
        <v>991606</v>
      </c>
      <c r="E16" s="43">
        <v>12000</v>
      </c>
      <c r="F16" s="43">
        <f t="shared" si="2"/>
        <v>248160</v>
      </c>
      <c r="G16" s="43">
        <f t="shared" si="3"/>
        <v>1239766</v>
      </c>
      <c r="I16" s="32">
        <v>2024</v>
      </c>
      <c r="J16" s="42">
        <f>J15</f>
        <v>79800</v>
      </c>
      <c r="K16" s="68">
        <f t="shared" si="4"/>
        <v>1318835.98</v>
      </c>
      <c r="L16" s="84">
        <f>L15</f>
        <v>34200</v>
      </c>
      <c r="M16" s="84">
        <f t="shared" si="5"/>
        <v>353628</v>
      </c>
      <c r="N16" s="43">
        <f t="shared" si="0"/>
        <v>1672463.98</v>
      </c>
      <c r="Q16" s="32">
        <v>2024</v>
      </c>
      <c r="R16" s="35">
        <f t="shared" si="6"/>
        <v>2912229.98</v>
      </c>
    </row>
    <row r="17" spans="2:19" x14ac:dyDescent="0.3">
      <c r="B17" s="32">
        <v>2025</v>
      </c>
      <c r="C17" s="42">
        <v>28000</v>
      </c>
      <c r="D17" s="68">
        <f t="shared" si="1"/>
        <v>991606</v>
      </c>
      <c r="E17" s="43">
        <v>12000</v>
      </c>
      <c r="F17" s="43">
        <f t="shared" si="2"/>
        <v>248160</v>
      </c>
      <c r="G17" s="43">
        <f t="shared" si="3"/>
        <v>1239766</v>
      </c>
      <c r="I17" s="32">
        <v>2025</v>
      </c>
      <c r="J17" s="42">
        <f>J16</f>
        <v>79800</v>
      </c>
      <c r="K17" s="68">
        <f t="shared" si="4"/>
        <v>1318835.98</v>
      </c>
      <c r="L17" s="84">
        <f>L16</f>
        <v>34200</v>
      </c>
      <c r="M17" s="84">
        <f t="shared" si="5"/>
        <v>353628</v>
      </c>
      <c r="N17" s="43">
        <f t="shared" si="0"/>
        <v>1672463.98</v>
      </c>
      <c r="Q17" s="32">
        <v>2025</v>
      </c>
      <c r="R17" s="35">
        <f t="shared" si="6"/>
        <v>2912229.98</v>
      </c>
    </row>
    <row r="18" spans="2:19" x14ac:dyDescent="0.3">
      <c r="B18" s="32">
        <v>2026</v>
      </c>
      <c r="C18" s="42">
        <v>28000</v>
      </c>
      <c r="D18" s="68">
        <f t="shared" si="1"/>
        <v>991606</v>
      </c>
      <c r="E18" s="43">
        <v>12000</v>
      </c>
      <c r="F18" s="43">
        <f t="shared" si="2"/>
        <v>248160</v>
      </c>
      <c r="G18" s="43">
        <f t="shared" si="3"/>
        <v>1239766</v>
      </c>
      <c r="I18" s="32">
        <v>2026</v>
      </c>
      <c r="J18" s="42">
        <f t="shared" ref="J18:J31" si="7">J17</f>
        <v>79800</v>
      </c>
      <c r="K18" s="68">
        <f t="shared" si="4"/>
        <v>1318835.98</v>
      </c>
      <c r="L18" s="84">
        <f t="shared" ref="L18:L31" si="8">L17</f>
        <v>34200</v>
      </c>
      <c r="M18" s="84">
        <f t="shared" si="5"/>
        <v>353628</v>
      </c>
      <c r="N18" s="43">
        <f t="shared" si="0"/>
        <v>1672463.98</v>
      </c>
      <c r="Q18" s="32">
        <v>2026</v>
      </c>
      <c r="R18" s="35">
        <f t="shared" si="6"/>
        <v>2912229.98</v>
      </c>
    </row>
    <row r="19" spans="2:19" x14ac:dyDescent="0.3">
      <c r="B19" s="32">
        <v>2027</v>
      </c>
      <c r="C19" s="42">
        <v>28000</v>
      </c>
      <c r="D19" s="68">
        <f t="shared" si="1"/>
        <v>991606</v>
      </c>
      <c r="E19" s="43">
        <v>12000</v>
      </c>
      <c r="F19" s="43">
        <f t="shared" si="2"/>
        <v>248160</v>
      </c>
      <c r="G19" s="43">
        <f t="shared" si="3"/>
        <v>1239766</v>
      </c>
      <c r="I19" s="32">
        <v>2027</v>
      </c>
      <c r="J19" s="42">
        <f t="shared" si="7"/>
        <v>79800</v>
      </c>
      <c r="K19" s="68">
        <f t="shared" si="4"/>
        <v>1318835.98</v>
      </c>
      <c r="L19" s="84">
        <f t="shared" si="8"/>
        <v>34200</v>
      </c>
      <c r="M19" s="84">
        <f t="shared" si="5"/>
        <v>353628</v>
      </c>
      <c r="N19" s="43">
        <f t="shared" si="0"/>
        <v>1672463.98</v>
      </c>
      <c r="Q19" s="32">
        <v>2027</v>
      </c>
      <c r="R19" s="35">
        <f t="shared" si="6"/>
        <v>2912229.98</v>
      </c>
    </row>
    <row r="20" spans="2:19" x14ac:dyDescent="0.3">
      <c r="B20" s="32">
        <v>2028</v>
      </c>
      <c r="C20" s="42">
        <v>28000</v>
      </c>
      <c r="D20" s="68">
        <f t="shared" si="1"/>
        <v>991606</v>
      </c>
      <c r="E20" s="43">
        <v>12000</v>
      </c>
      <c r="F20" s="43">
        <f t="shared" si="2"/>
        <v>248160</v>
      </c>
      <c r="G20" s="43">
        <f t="shared" si="3"/>
        <v>1239766</v>
      </c>
      <c r="I20" s="32">
        <v>2028</v>
      </c>
      <c r="J20" s="42">
        <f t="shared" si="7"/>
        <v>79800</v>
      </c>
      <c r="K20" s="68">
        <f t="shared" si="4"/>
        <v>1318835.98</v>
      </c>
      <c r="L20" s="84">
        <f t="shared" si="8"/>
        <v>34200</v>
      </c>
      <c r="M20" s="84">
        <f t="shared" si="5"/>
        <v>353628</v>
      </c>
      <c r="N20" s="43">
        <f t="shared" si="0"/>
        <v>1672463.98</v>
      </c>
      <c r="Q20" s="32" t="s">
        <v>13</v>
      </c>
      <c r="R20" s="35">
        <f>SUM(R11:R19)</f>
        <v>21973761.48</v>
      </c>
    </row>
    <row r="21" spans="2:19" x14ac:dyDescent="0.3">
      <c r="B21" s="32">
        <v>2029</v>
      </c>
      <c r="C21" s="42">
        <v>28000</v>
      </c>
      <c r="D21" s="68">
        <f t="shared" si="1"/>
        <v>991606</v>
      </c>
      <c r="E21" s="43">
        <v>12000</v>
      </c>
      <c r="F21" s="43">
        <f t="shared" si="2"/>
        <v>248160</v>
      </c>
      <c r="G21" s="43">
        <f t="shared" si="3"/>
        <v>1239766</v>
      </c>
      <c r="I21" s="32">
        <v>2029</v>
      </c>
      <c r="J21" s="42">
        <f t="shared" si="7"/>
        <v>79800</v>
      </c>
      <c r="K21" s="68">
        <f t="shared" si="4"/>
        <v>1318835.98</v>
      </c>
      <c r="L21" s="84">
        <f t="shared" si="8"/>
        <v>34200</v>
      </c>
      <c r="M21" s="84">
        <f t="shared" si="5"/>
        <v>353628</v>
      </c>
      <c r="N21" s="43">
        <f t="shared" si="0"/>
        <v>1672463.98</v>
      </c>
      <c r="Q21" s="86"/>
      <c r="R21" s="87"/>
      <c r="S21" s="39"/>
    </row>
    <row r="22" spans="2:19" x14ac:dyDescent="0.3">
      <c r="B22" s="32">
        <v>2030</v>
      </c>
      <c r="C22" s="42">
        <v>28000</v>
      </c>
      <c r="D22" s="68">
        <f t="shared" si="1"/>
        <v>991606</v>
      </c>
      <c r="E22" s="43">
        <v>12000</v>
      </c>
      <c r="F22" s="43">
        <f t="shared" si="2"/>
        <v>248160</v>
      </c>
      <c r="G22" s="43">
        <f t="shared" si="3"/>
        <v>1239766</v>
      </c>
      <c r="I22" s="32">
        <v>2030</v>
      </c>
      <c r="J22" s="42">
        <f t="shared" si="7"/>
        <v>79800</v>
      </c>
      <c r="K22" s="68">
        <f t="shared" si="4"/>
        <v>1318835.98</v>
      </c>
      <c r="L22" s="84">
        <f t="shared" si="8"/>
        <v>34200</v>
      </c>
      <c r="M22" s="84">
        <f t="shared" si="5"/>
        <v>353628</v>
      </c>
      <c r="N22" s="43">
        <f t="shared" si="0"/>
        <v>1672463.98</v>
      </c>
      <c r="Q22" s="86"/>
      <c r="R22" s="87"/>
      <c r="S22" s="39"/>
    </row>
    <row r="23" spans="2:19" x14ac:dyDescent="0.3">
      <c r="B23" s="32">
        <v>2031</v>
      </c>
      <c r="C23" s="42">
        <v>28000</v>
      </c>
      <c r="D23" s="68">
        <f t="shared" si="1"/>
        <v>991606</v>
      </c>
      <c r="E23" s="43">
        <v>12000</v>
      </c>
      <c r="F23" s="43">
        <f t="shared" si="2"/>
        <v>248160</v>
      </c>
      <c r="G23" s="43">
        <f t="shared" si="3"/>
        <v>1239766</v>
      </c>
      <c r="I23" s="32">
        <v>2031</v>
      </c>
      <c r="J23" s="42">
        <f t="shared" si="7"/>
        <v>79800</v>
      </c>
      <c r="K23" s="68">
        <f t="shared" si="4"/>
        <v>1318835.98</v>
      </c>
      <c r="L23" s="84">
        <f t="shared" si="8"/>
        <v>34200</v>
      </c>
      <c r="M23" s="84">
        <f t="shared" si="5"/>
        <v>353628</v>
      </c>
      <c r="N23" s="43">
        <f t="shared" si="0"/>
        <v>1672463.98</v>
      </c>
      <c r="Q23" s="86"/>
      <c r="R23" s="87"/>
      <c r="S23" s="39"/>
    </row>
    <row r="24" spans="2:19" x14ac:dyDescent="0.3">
      <c r="B24" s="32">
        <v>2032</v>
      </c>
      <c r="C24" s="42">
        <v>28000</v>
      </c>
      <c r="D24" s="68">
        <f t="shared" si="1"/>
        <v>991606</v>
      </c>
      <c r="E24" s="43">
        <v>12000</v>
      </c>
      <c r="F24" s="43">
        <f t="shared" si="2"/>
        <v>248160</v>
      </c>
      <c r="G24" s="43">
        <f t="shared" si="3"/>
        <v>1239766</v>
      </c>
      <c r="I24" s="32">
        <v>2032</v>
      </c>
      <c r="J24" s="42">
        <f t="shared" si="7"/>
        <v>79800</v>
      </c>
      <c r="K24" s="68">
        <f t="shared" si="4"/>
        <v>1318835.98</v>
      </c>
      <c r="L24" s="84">
        <f t="shared" si="8"/>
        <v>34200</v>
      </c>
      <c r="M24" s="84">
        <f t="shared" si="5"/>
        <v>353628</v>
      </c>
      <c r="N24" s="43">
        <f t="shared" si="0"/>
        <v>1672463.98</v>
      </c>
      <c r="Q24" s="86"/>
      <c r="R24" s="87"/>
      <c r="S24" s="39"/>
    </row>
    <row r="25" spans="2:19" x14ac:dyDescent="0.3">
      <c r="B25" s="32">
        <v>2033</v>
      </c>
      <c r="C25" s="42">
        <v>28000</v>
      </c>
      <c r="D25" s="68">
        <f t="shared" si="1"/>
        <v>991606</v>
      </c>
      <c r="E25" s="43">
        <v>12000</v>
      </c>
      <c r="F25" s="43">
        <f t="shared" si="2"/>
        <v>248160</v>
      </c>
      <c r="G25" s="43">
        <f t="shared" si="3"/>
        <v>1239766</v>
      </c>
      <c r="I25" s="32">
        <v>2033</v>
      </c>
      <c r="J25" s="42">
        <f t="shared" si="7"/>
        <v>79800</v>
      </c>
      <c r="K25" s="68">
        <f t="shared" si="4"/>
        <v>1318835.98</v>
      </c>
      <c r="L25" s="84">
        <f t="shared" si="8"/>
        <v>34200</v>
      </c>
      <c r="M25" s="84">
        <f t="shared" si="5"/>
        <v>353628</v>
      </c>
      <c r="N25" s="43">
        <f t="shared" si="0"/>
        <v>1672463.98</v>
      </c>
      <c r="Q25" s="86"/>
      <c r="R25" s="87"/>
      <c r="S25" s="39"/>
    </row>
    <row r="26" spans="2:19" x14ac:dyDescent="0.3">
      <c r="B26" s="32">
        <v>2034</v>
      </c>
      <c r="C26" s="42">
        <v>28000</v>
      </c>
      <c r="D26" s="68">
        <f t="shared" si="1"/>
        <v>991606</v>
      </c>
      <c r="E26" s="43">
        <v>12000</v>
      </c>
      <c r="F26" s="43">
        <f t="shared" si="2"/>
        <v>248160</v>
      </c>
      <c r="G26" s="43">
        <f t="shared" si="3"/>
        <v>1239766</v>
      </c>
      <c r="I26" s="32">
        <v>2034</v>
      </c>
      <c r="J26" s="42">
        <f t="shared" si="7"/>
        <v>79800</v>
      </c>
      <c r="K26" s="68">
        <f t="shared" si="4"/>
        <v>1318835.98</v>
      </c>
      <c r="L26" s="84">
        <f t="shared" si="8"/>
        <v>34200</v>
      </c>
      <c r="M26" s="84">
        <f t="shared" si="5"/>
        <v>353628</v>
      </c>
      <c r="N26" s="43">
        <f t="shared" si="0"/>
        <v>1672463.98</v>
      </c>
      <c r="Q26" s="86"/>
      <c r="R26" s="87"/>
      <c r="S26" s="39"/>
    </row>
    <row r="27" spans="2:19" x14ac:dyDescent="0.3">
      <c r="B27" s="32">
        <v>2035</v>
      </c>
      <c r="C27" s="42">
        <v>28000</v>
      </c>
      <c r="D27" s="68">
        <f t="shared" si="1"/>
        <v>991606</v>
      </c>
      <c r="E27" s="43">
        <v>12000</v>
      </c>
      <c r="F27" s="43">
        <f t="shared" si="2"/>
        <v>248160</v>
      </c>
      <c r="G27" s="43">
        <f t="shared" si="3"/>
        <v>1239766</v>
      </c>
      <c r="I27" s="32">
        <v>2035</v>
      </c>
      <c r="J27" s="42">
        <f t="shared" si="7"/>
        <v>79800</v>
      </c>
      <c r="K27" s="68">
        <f t="shared" si="4"/>
        <v>1318835.98</v>
      </c>
      <c r="L27" s="84">
        <f t="shared" si="8"/>
        <v>34200</v>
      </c>
      <c r="M27" s="84">
        <f t="shared" si="5"/>
        <v>353628</v>
      </c>
      <c r="N27" s="43">
        <f t="shared" si="0"/>
        <v>1672463.98</v>
      </c>
      <c r="Q27" s="86"/>
      <c r="R27" s="87"/>
      <c r="S27" s="39"/>
    </row>
    <row r="28" spans="2:19" x14ac:dyDescent="0.3">
      <c r="B28" s="32">
        <v>2036</v>
      </c>
      <c r="C28" s="42">
        <v>28000</v>
      </c>
      <c r="D28" s="68">
        <f t="shared" si="1"/>
        <v>991606</v>
      </c>
      <c r="E28" s="43">
        <v>12000</v>
      </c>
      <c r="F28" s="43">
        <f t="shared" si="2"/>
        <v>248160</v>
      </c>
      <c r="G28" s="43">
        <f t="shared" si="3"/>
        <v>1239766</v>
      </c>
      <c r="I28" s="32">
        <v>2036</v>
      </c>
      <c r="J28" s="42">
        <f t="shared" si="7"/>
        <v>79800</v>
      </c>
      <c r="K28" s="68">
        <f t="shared" si="4"/>
        <v>1318835.98</v>
      </c>
      <c r="L28" s="84">
        <f t="shared" si="8"/>
        <v>34200</v>
      </c>
      <c r="M28" s="84">
        <f t="shared" si="5"/>
        <v>353628</v>
      </c>
      <c r="N28" s="43">
        <f t="shared" si="0"/>
        <v>1672463.98</v>
      </c>
      <c r="Q28" s="86"/>
      <c r="R28" s="87"/>
      <c r="S28" s="39"/>
    </row>
    <row r="29" spans="2:19" x14ac:dyDescent="0.3">
      <c r="B29" s="32">
        <v>2037</v>
      </c>
      <c r="C29" s="42">
        <v>28000</v>
      </c>
      <c r="D29" s="68">
        <f t="shared" si="1"/>
        <v>991606</v>
      </c>
      <c r="E29" s="43">
        <v>12000</v>
      </c>
      <c r="F29" s="43">
        <f t="shared" si="2"/>
        <v>248160</v>
      </c>
      <c r="G29" s="43">
        <f t="shared" si="3"/>
        <v>1239766</v>
      </c>
      <c r="I29" s="32">
        <v>2037</v>
      </c>
      <c r="J29" s="42">
        <f t="shared" si="7"/>
        <v>79800</v>
      </c>
      <c r="K29" s="68">
        <f t="shared" si="4"/>
        <v>1318835.98</v>
      </c>
      <c r="L29" s="84">
        <f t="shared" si="8"/>
        <v>34200</v>
      </c>
      <c r="M29" s="84">
        <f t="shared" si="5"/>
        <v>353628</v>
      </c>
      <c r="N29" s="43">
        <f t="shared" si="0"/>
        <v>1672463.98</v>
      </c>
      <c r="Q29" s="86"/>
      <c r="R29" s="87"/>
      <c r="S29" s="39"/>
    </row>
    <row r="30" spans="2:19" x14ac:dyDescent="0.3">
      <c r="B30" s="32">
        <v>2038</v>
      </c>
      <c r="C30" s="42">
        <v>28000</v>
      </c>
      <c r="D30" s="68">
        <f t="shared" si="1"/>
        <v>991606</v>
      </c>
      <c r="E30" s="43">
        <v>12000</v>
      </c>
      <c r="F30" s="43">
        <f t="shared" si="2"/>
        <v>248160</v>
      </c>
      <c r="G30" s="43">
        <f t="shared" si="3"/>
        <v>1239766</v>
      </c>
      <c r="I30" s="32">
        <v>2038</v>
      </c>
      <c r="J30" s="42">
        <f t="shared" si="7"/>
        <v>79800</v>
      </c>
      <c r="K30" s="68">
        <f t="shared" si="4"/>
        <v>1318835.98</v>
      </c>
      <c r="L30" s="84">
        <f t="shared" si="8"/>
        <v>34200</v>
      </c>
      <c r="M30" s="84">
        <f t="shared" si="5"/>
        <v>353628</v>
      </c>
      <c r="N30" s="43">
        <f t="shared" si="0"/>
        <v>1672463.98</v>
      </c>
      <c r="Q30" s="86"/>
      <c r="R30" s="87"/>
      <c r="S30" s="39"/>
    </row>
    <row r="31" spans="2:19" x14ac:dyDescent="0.3">
      <c r="B31" s="32">
        <v>2039</v>
      </c>
      <c r="C31" s="42">
        <v>28000</v>
      </c>
      <c r="D31" s="68">
        <f t="shared" si="1"/>
        <v>991606</v>
      </c>
      <c r="E31" s="43">
        <v>12000</v>
      </c>
      <c r="F31" s="43">
        <f t="shared" si="2"/>
        <v>248160</v>
      </c>
      <c r="G31" s="43">
        <f t="shared" si="3"/>
        <v>1239766</v>
      </c>
      <c r="I31" s="32">
        <v>2039</v>
      </c>
      <c r="J31" s="42">
        <f t="shared" si="7"/>
        <v>79800</v>
      </c>
      <c r="K31" s="68">
        <f t="shared" si="4"/>
        <v>1318835.98</v>
      </c>
      <c r="L31" s="84">
        <f t="shared" si="8"/>
        <v>34200</v>
      </c>
      <c r="M31" s="84">
        <f t="shared" si="5"/>
        <v>353628</v>
      </c>
      <c r="N31" s="43">
        <f t="shared" si="0"/>
        <v>1672463.98</v>
      </c>
      <c r="Q31" s="86"/>
      <c r="R31" s="87"/>
      <c r="S31" s="39"/>
    </row>
    <row r="32" spans="2:19" x14ac:dyDescent="0.3">
      <c r="B32" s="44" t="s">
        <v>13</v>
      </c>
      <c r="C32" s="33">
        <v>28000</v>
      </c>
      <c r="D32" s="45">
        <f>SUM(D12:D31)</f>
        <v>19088415.5</v>
      </c>
      <c r="E32" s="44">
        <v>12000</v>
      </c>
      <c r="F32" s="44">
        <f>SUM(F10:F31)</f>
        <v>4839120</v>
      </c>
      <c r="G32" s="44">
        <f>SUM(F32,D32)</f>
        <v>23927535.5</v>
      </c>
      <c r="I32" s="44" t="s">
        <v>13</v>
      </c>
      <c r="J32" s="33">
        <f>J31</f>
        <v>79800</v>
      </c>
      <c r="K32" s="33">
        <f>SUM(K12:K31)</f>
        <v>25474358.140000004</v>
      </c>
      <c r="L32" s="85">
        <f>L31</f>
        <v>34200</v>
      </c>
      <c r="M32" s="85">
        <f>SUM(M10:M31)</f>
        <v>6923664</v>
      </c>
      <c r="N32" s="44">
        <f>SUM(M32,K32)</f>
        <v>32398022.140000004</v>
      </c>
      <c r="Q32" s="88"/>
      <c r="R32" s="89"/>
      <c r="S32" s="39"/>
    </row>
  </sheetData>
  <mergeCells count="7">
    <mergeCell ref="I2:N2"/>
    <mergeCell ref="J9:K9"/>
    <mergeCell ref="L9:M9"/>
    <mergeCell ref="Q8:R9"/>
    <mergeCell ref="C9:D9"/>
    <mergeCell ref="E9:F9"/>
    <mergeCell ref="B2:G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Paramètres</vt:lpstr>
      <vt:lpstr>Tableau</vt:lpstr>
      <vt:lpstr>Efficacité</vt:lpstr>
      <vt:lpstr>Absorption - AS1 Agroforesterie</vt:lpstr>
      <vt:lpstr>Absorption - FS2 Forêt classées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dc:creator>
  <cp:lastModifiedBy>Andres B. Espejo</cp:lastModifiedBy>
  <dcterms:created xsi:type="dcterms:W3CDTF">2018-09-15T21:22:36Z</dcterms:created>
  <dcterms:modified xsi:type="dcterms:W3CDTF">2019-01-15T21:19:35Z</dcterms:modified>
</cp:coreProperties>
</file>